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tomwetherby/Documents/Lacrosse/Stats and Rosters/"/>
    </mc:Choice>
  </mc:AlternateContent>
  <xr:revisionPtr revIDLastSave="0" documentId="13_ncr:1_{A868D6B9-F406-564F-95F1-EA6F1630A121}" xr6:coauthVersionLast="47" xr6:coauthVersionMax="47" xr10:uidLastSave="{00000000-0000-0000-0000-000000000000}"/>
  <bookViews>
    <workbookView xWindow="0" yWindow="500" windowWidth="28800" windowHeight="16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J36" i="1"/>
  <c r="G36" i="1"/>
  <c r="F36" i="1"/>
  <c r="E36" i="1"/>
  <c r="Q35" i="1"/>
  <c r="P35" i="1"/>
  <c r="O35" i="1"/>
  <c r="N35" i="1"/>
  <c r="J35" i="1"/>
  <c r="G35" i="1"/>
  <c r="F35" i="1"/>
  <c r="E35" i="1"/>
  <c r="N26" i="1"/>
  <c r="O26" i="1"/>
  <c r="N27" i="1"/>
  <c r="O27" i="1"/>
  <c r="N28" i="1"/>
  <c r="O28" i="1"/>
  <c r="Q25" i="1"/>
  <c r="P25" i="1"/>
  <c r="O25" i="1"/>
  <c r="N25" i="1"/>
  <c r="Q24" i="1"/>
  <c r="P24" i="1"/>
  <c r="O24" i="1"/>
  <c r="N24" i="1"/>
  <c r="J25" i="1"/>
  <c r="J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G24" i="1"/>
  <c r="F24" i="1"/>
  <c r="E24" i="1"/>
  <c r="Q23" i="1"/>
  <c r="P23" i="1"/>
  <c r="O23" i="1"/>
  <c r="N23" i="1"/>
  <c r="J23" i="1"/>
  <c r="G23" i="1"/>
  <c r="F23" i="1"/>
  <c r="E23" i="1"/>
  <c r="Q22" i="1"/>
  <c r="P22" i="1"/>
  <c r="O22" i="1"/>
  <c r="N22" i="1"/>
  <c r="J22" i="1"/>
  <c r="G22" i="1"/>
  <c r="F22" i="1"/>
  <c r="E22" i="1"/>
  <c r="Q21" i="1"/>
  <c r="P21" i="1"/>
  <c r="O21" i="1"/>
  <c r="N21" i="1"/>
  <c r="J21" i="1"/>
  <c r="G21" i="1"/>
  <c r="F21" i="1"/>
  <c r="E21" i="1"/>
  <c r="Q20" i="1"/>
  <c r="P20" i="1"/>
  <c r="O20" i="1"/>
  <c r="N20" i="1"/>
  <c r="J20" i="1"/>
  <c r="G20" i="1"/>
  <c r="F20" i="1"/>
  <c r="E20" i="1"/>
  <c r="Q19" i="1"/>
  <c r="P19" i="1"/>
  <c r="O19" i="1"/>
  <c r="N19" i="1"/>
  <c r="L19" i="1"/>
  <c r="K19" i="1"/>
  <c r="J19" i="1"/>
  <c r="G19" i="1"/>
  <c r="F19" i="1"/>
  <c r="E19" i="1"/>
  <c r="Q18" i="1"/>
  <c r="P18" i="1"/>
  <c r="O18" i="1"/>
  <c r="N18" i="1"/>
  <c r="J18" i="1"/>
  <c r="G18" i="1"/>
  <c r="F18" i="1"/>
  <c r="E18" i="1"/>
  <c r="Q17" i="1"/>
  <c r="P17" i="1"/>
  <c r="O17" i="1"/>
  <c r="N17" i="1"/>
  <c r="J17" i="1"/>
  <c r="G17" i="1"/>
  <c r="F17" i="1"/>
  <c r="E17" i="1"/>
  <c r="Q16" i="1"/>
  <c r="P16" i="1"/>
  <c r="O16" i="1"/>
  <c r="N16" i="1"/>
  <c r="J16" i="1"/>
  <c r="H16" i="1"/>
  <c r="G16" i="1"/>
  <c r="F16" i="1"/>
  <c r="E16" i="1"/>
  <c r="Q15" i="1"/>
  <c r="P15" i="1"/>
  <c r="O15" i="1"/>
  <c r="N15" i="1"/>
  <c r="J15" i="1"/>
  <c r="G15" i="1"/>
  <c r="F15" i="1"/>
  <c r="E15" i="1"/>
  <c r="Q14" i="1"/>
  <c r="P14" i="1"/>
  <c r="O14" i="1"/>
  <c r="N14" i="1"/>
  <c r="J14" i="1"/>
  <c r="G14" i="1"/>
  <c r="F14" i="1"/>
  <c r="E14" i="1"/>
  <c r="Q13" i="1"/>
  <c r="P13" i="1"/>
  <c r="O13" i="1"/>
  <c r="N13" i="1"/>
  <c r="J13" i="1"/>
  <c r="G13" i="1"/>
  <c r="H13" i="1" s="1"/>
  <c r="F13" i="1"/>
  <c r="E13" i="1"/>
  <c r="Q12" i="1"/>
  <c r="P12" i="1"/>
  <c r="O12" i="1"/>
  <c r="N12" i="1"/>
  <c r="J12" i="1"/>
  <c r="G12" i="1"/>
  <c r="F12" i="1"/>
  <c r="E12" i="1"/>
  <c r="Q11" i="1"/>
  <c r="P11" i="1"/>
  <c r="O11" i="1"/>
  <c r="N11" i="1"/>
  <c r="J11" i="1"/>
  <c r="G11" i="1"/>
  <c r="F11" i="1"/>
  <c r="E11" i="1"/>
  <c r="Q10" i="1"/>
  <c r="P10" i="1"/>
  <c r="O10" i="1"/>
  <c r="N10" i="1"/>
  <c r="L10" i="1"/>
  <c r="K10" i="1"/>
  <c r="J10" i="1"/>
  <c r="G10" i="1"/>
  <c r="F10" i="1"/>
  <c r="E10" i="1"/>
  <c r="Q9" i="1"/>
  <c r="P9" i="1"/>
  <c r="O9" i="1"/>
  <c r="N9" i="1"/>
  <c r="L9" i="1"/>
  <c r="K9" i="1"/>
  <c r="J9" i="1"/>
  <c r="G9" i="1"/>
  <c r="F9" i="1"/>
  <c r="E9" i="1"/>
  <c r="Q8" i="1"/>
  <c r="P8" i="1"/>
  <c r="O8" i="1"/>
  <c r="N8" i="1"/>
  <c r="J8" i="1"/>
  <c r="G8" i="1"/>
  <c r="F8" i="1"/>
  <c r="E8" i="1"/>
  <c r="Q7" i="1"/>
  <c r="P7" i="1"/>
  <c r="O7" i="1"/>
  <c r="N7" i="1"/>
  <c r="J7" i="1"/>
  <c r="G7" i="1"/>
  <c r="F7" i="1"/>
  <c r="E7" i="1"/>
  <c r="Q6" i="1"/>
  <c r="P6" i="1"/>
  <c r="O6" i="1"/>
  <c r="N6" i="1"/>
  <c r="J6" i="1"/>
  <c r="G6" i="1"/>
  <c r="F6" i="1"/>
  <c r="E6" i="1"/>
  <c r="Q5" i="1"/>
  <c r="P5" i="1"/>
  <c r="O5" i="1"/>
  <c r="N5" i="1"/>
  <c r="J5" i="1"/>
  <c r="H5" i="1"/>
  <c r="G5" i="1"/>
  <c r="F5" i="1"/>
  <c r="E5" i="1"/>
  <c r="Q4" i="1"/>
  <c r="P4" i="1"/>
  <c r="O4" i="1"/>
  <c r="N4" i="1"/>
  <c r="J4" i="1"/>
  <c r="G4" i="1"/>
  <c r="F4" i="1"/>
  <c r="E4" i="1"/>
  <c r="Q3" i="1"/>
  <c r="P3" i="1"/>
  <c r="O3" i="1"/>
  <c r="N3" i="1"/>
  <c r="J3" i="1"/>
  <c r="G3" i="1"/>
  <c r="F3" i="1"/>
  <c r="E3" i="1"/>
  <c r="F61" i="1"/>
  <c r="E61" i="1"/>
  <c r="F58" i="1"/>
  <c r="E58" i="1"/>
  <c r="F55" i="1"/>
  <c r="E55" i="1"/>
  <c r="F52" i="1"/>
  <c r="E52" i="1"/>
  <c r="F47" i="1"/>
  <c r="E47" i="1"/>
  <c r="N48" i="1"/>
  <c r="M48" i="1"/>
  <c r="M57" i="1"/>
  <c r="L59" i="1"/>
  <c r="L61" i="1"/>
  <c r="F65" i="1"/>
  <c r="D65" i="1"/>
  <c r="M21" i="1"/>
  <c r="F48" i="1"/>
  <c r="E48" i="1"/>
  <c r="H15" i="1" l="1"/>
  <c r="H11" i="1"/>
  <c r="H26" i="1" l="1"/>
  <c r="H27" i="1"/>
  <c r="H28" i="1"/>
  <c r="I29" i="1"/>
  <c r="H23" i="1"/>
  <c r="H17" i="1"/>
  <c r="P26" i="1"/>
  <c r="N29" i="1"/>
  <c r="O29" i="1"/>
  <c r="I27" i="1"/>
  <c r="J26" i="1"/>
  <c r="Q27" i="1"/>
  <c r="Q28" i="1"/>
  <c r="Q29" i="1"/>
  <c r="Q26" i="1"/>
  <c r="P28" i="1"/>
  <c r="P29" i="1"/>
  <c r="P27" i="1"/>
  <c r="J27" i="1"/>
  <c r="J28" i="1"/>
  <c r="J29" i="1"/>
  <c r="H29" i="1" l="1"/>
  <c r="I28" i="1"/>
  <c r="H7" i="1"/>
  <c r="I4" i="1"/>
  <c r="S29" i="1"/>
  <c r="S28" i="1"/>
  <c r="R29" i="1"/>
  <c r="H25" i="1"/>
  <c r="M19" i="1"/>
  <c r="S27" i="1"/>
  <c r="R27" i="1"/>
  <c r="R28" i="1"/>
  <c r="H35" i="1"/>
  <c r="S35" i="1" l="1"/>
  <c r="R35" i="1"/>
  <c r="H24" i="1"/>
  <c r="I13" i="1"/>
  <c r="H10" i="1"/>
  <c r="I3" i="1"/>
  <c r="I35" i="1"/>
  <c r="H8" i="1"/>
  <c r="I7" i="1"/>
  <c r="I36" i="1"/>
  <c r="M54" i="1"/>
  <c r="M52" i="1"/>
  <c r="G47" i="1"/>
  <c r="M9" i="1"/>
  <c r="M10" i="1" l="1"/>
  <c r="I26" i="1"/>
  <c r="I24" i="1"/>
  <c r="I23" i="1"/>
  <c r="I22" i="1"/>
  <c r="I21" i="1"/>
  <c r="I20" i="1"/>
  <c r="I19" i="1"/>
  <c r="I18" i="1"/>
  <c r="I16" i="1"/>
  <c r="I5" i="1" l="1"/>
  <c r="I17" i="1"/>
  <c r="I25" i="1"/>
  <c r="I12" i="1"/>
  <c r="I8" i="1"/>
  <c r="I9" i="1"/>
  <c r="I10" i="1"/>
  <c r="I11" i="1"/>
  <c r="I14" i="1"/>
  <c r="I15" i="1"/>
  <c r="H6" i="1"/>
  <c r="I6" i="1"/>
  <c r="H3" i="1"/>
  <c r="H12" i="1"/>
  <c r="H4" i="1" l="1"/>
  <c r="S4" i="1" s="1"/>
  <c r="H160" i="1"/>
  <c r="R4" i="1" l="1"/>
  <c r="H9" i="1"/>
  <c r="H36" i="1" l="1"/>
  <c r="H85" i="1"/>
  <c r="H84" i="1"/>
  <c r="H100" i="1"/>
  <c r="H99" i="1"/>
  <c r="S36" i="1" l="1"/>
  <c r="R36" i="1"/>
  <c r="Q44" i="1"/>
  <c r="S11" i="1" l="1"/>
  <c r="R12" i="1"/>
  <c r="R7" i="1"/>
  <c r="S5" i="1"/>
  <c r="R11" i="1" l="1"/>
  <c r="R5" i="1"/>
  <c r="S7" i="1"/>
  <c r="S12" i="1"/>
  <c r="H21" i="1"/>
  <c r="S25" i="1" l="1"/>
  <c r="R25" i="1"/>
  <c r="S26" i="1"/>
  <c r="R26" i="1"/>
  <c r="R21" i="1"/>
  <c r="S21" i="1"/>
  <c r="H14" i="1"/>
  <c r="R14" i="1" l="1"/>
  <c r="S14" i="1"/>
  <c r="R24" i="1"/>
  <c r="S24" i="1"/>
  <c r="R8" i="1" l="1"/>
  <c r="S8" i="1"/>
  <c r="H19" i="1"/>
  <c r="R19" i="1" l="1"/>
  <c r="S19" i="1"/>
  <c r="H119" i="1"/>
  <c r="S3" i="1" l="1"/>
  <c r="R3" i="1"/>
  <c r="G48" i="1" l="1"/>
  <c r="H48" i="1"/>
  <c r="H22" i="1" l="1"/>
  <c r="H105" i="1"/>
  <c r="H74" i="1"/>
  <c r="H159" i="1"/>
  <c r="H155" i="1"/>
  <c r="H154" i="1"/>
  <c r="D66" i="1"/>
  <c r="H150" i="1"/>
  <c r="H149" i="1"/>
  <c r="H145" i="1"/>
  <c r="H144" i="1"/>
  <c r="H140" i="1"/>
  <c r="H139" i="1"/>
  <c r="H135" i="1"/>
  <c r="H134" i="1"/>
  <c r="H130" i="1"/>
  <c r="H129" i="1"/>
  <c r="H125" i="1"/>
  <c r="H124" i="1"/>
  <c r="H115" i="1"/>
  <c r="H114" i="1"/>
  <c r="H110" i="1"/>
  <c r="H109" i="1"/>
  <c r="H104" i="1"/>
  <c r="H120" i="1"/>
  <c r="H95" i="1"/>
  <c r="H94" i="1"/>
  <c r="H90" i="1"/>
  <c r="H89" i="1"/>
  <c r="E44" i="1"/>
  <c r="H80" i="1"/>
  <c r="H79" i="1"/>
  <c r="H75" i="1"/>
  <c r="K44" i="1"/>
  <c r="L44" i="1"/>
  <c r="O44" i="1"/>
  <c r="G61" i="1"/>
  <c r="G58" i="1"/>
  <c r="G55" i="1"/>
  <c r="G52" i="1"/>
  <c r="P44" i="1"/>
  <c r="H18" i="1"/>
  <c r="F44" i="1"/>
  <c r="G44" i="1"/>
  <c r="N44" i="1"/>
  <c r="F66" i="1"/>
  <c r="H20" i="1"/>
  <c r="J44" i="1"/>
  <c r="I44" i="1" l="1"/>
  <c r="R23" i="1"/>
  <c r="S23" i="1"/>
  <c r="R22" i="1"/>
  <c r="S22" i="1"/>
  <c r="S10" i="1"/>
  <c r="R10" i="1"/>
  <c r="S18" i="1"/>
  <c r="R18" i="1"/>
  <c r="R20" i="1"/>
  <c r="S20" i="1"/>
  <c r="S17" i="1"/>
  <c r="R17" i="1"/>
  <c r="R15" i="1"/>
  <c r="S15" i="1"/>
  <c r="R9" i="1"/>
  <c r="S9" i="1"/>
  <c r="R13" i="1"/>
  <c r="S13" i="1"/>
  <c r="R16" i="1"/>
  <c r="S16" i="1"/>
  <c r="R6" i="1"/>
  <c r="S6" i="1"/>
  <c r="M44" i="1"/>
  <c r="H47" i="1"/>
</calcChain>
</file>

<file path=xl/sharedStrings.xml><?xml version="1.0" encoding="utf-8"?>
<sst xmlns="http://schemas.openxmlformats.org/spreadsheetml/2006/main" count="234" uniqueCount="112">
  <si>
    <t>Name</t>
  </si>
  <si>
    <t>GP</t>
  </si>
  <si>
    <t>Goals</t>
  </si>
  <si>
    <t>Assists</t>
  </si>
  <si>
    <t>Points</t>
  </si>
  <si>
    <t>Shots</t>
  </si>
  <si>
    <t>Ground balls</t>
  </si>
  <si>
    <t>FOW</t>
  </si>
  <si>
    <t>Penalties</t>
  </si>
  <si>
    <t>Minutes</t>
  </si>
  <si>
    <t>Games Started</t>
  </si>
  <si>
    <t>Saves</t>
  </si>
  <si>
    <t xml:space="preserve">Team: </t>
  </si>
  <si>
    <t>Goals For</t>
  </si>
  <si>
    <t>Goals Against</t>
  </si>
  <si>
    <t>Total:</t>
  </si>
  <si>
    <t>Per Game:</t>
  </si>
  <si>
    <t>Record:</t>
  </si>
  <si>
    <t>Ties: 0</t>
  </si>
  <si>
    <t>Clears:</t>
  </si>
  <si>
    <t>Successful</t>
  </si>
  <si>
    <t>Unsuccessful</t>
  </si>
  <si>
    <t>Extra Man Opps:</t>
  </si>
  <si>
    <t>Scored</t>
  </si>
  <si>
    <t>Failed</t>
  </si>
  <si>
    <t>Opponents Extra Man Opps:</t>
  </si>
  <si>
    <t>FO Attempts</t>
  </si>
  <si>
    <t>Opponent Clears:</t>
  </si>
  <si>
    <t>FOW %</t>
  </si>
  <si>
    <t>Games</t>
  </si>
  <si>
    <t>Totals:</t>
  </si>
  <si>
    <t>Opponents penalties:</t>
  </si>
  <si>
    <t>Turnovers</t>
  </si>
  <si>
    <t>Jersey #</t>
  </si>
  <si>
    <t>Pos</t>
  </si>
  <si>
    <t>A</t>
  </si>
  <si>
    <t>M</t>
  </si>
  <si>
    <t>D</t>
  </si>
  <si>
    <t>G</t>
  </si>
  <si>
    <t>%</t>
  </si>
  <si>
    <t>Time of possesion:</t>
  </si>
  <si>
    <t>Opponent's T.O.P.:</t>
  </si>
  <si>
    <t>#</t>
  </si>
  <si>
    <t>Time</t>
  </si>
  <si>
    <t>Games:</t>
  </si>
  <si>
    <t>Athens Drive</t>
  </si>
  <si>
    <t>1st</t>
  </si>
  <si>
    <t>2nd</t>
  </si>
  <si>
    <t>3rd</t>
  </si>
  <si>
    <t>4th</t>
  </si>
  <si>
    <t>Total</t>
  </si>
  <si>
    <t>T.O.P.</t>
  </si>
  <si>
    <t>TEAM</t>
  </si>
  <si>
    <t>Opponents turnovers:</t>
  </si>
  <si>
    <t>Shots on Goal:</t>
  </si>
  <si>
    <t>Opponents shots on goal:</t>
  </si>
  <si>
    <t>Saves per game played</t>
  </si>
  <si>
    <t>Productivity ratio</t>
  </si>
  <si>
    <t>Per Game Contribution</t>
  </si>
  <si>
    <t>Shots on goal</t>
  </si>
  <si>
    <t>Save %</t>
  </si>
  <si>
    <t>D/LSM</t>
  </si>
  <si>
    <t>Home</t>
  </si>
  <si>
    <t>Away</t>
  </si>
  <si>
    <t>Caused T.O</t>
  </si>
  <si>
    <t>Myzaiah Garris</t>
  </si>
  <si>
    <t>Carson Andrews</t>
  </si>
  <si>
    <t>Coley Smith</t>
  </si>
  <si>
    <t>Jacob Woodall</t>
  </si>
  <si>
    <t>Quinton Goodwin</t>
  </si>
  <si>
    <t>Tyler Fields</t>
  </si>
  <si>
    <t>Logan Devine</t>
  </si>
  <si>
    <t>Owen Edwards</t>
  </si>
  <si>
    <t>Alex Garcia</t>
  </si>
  <si>
    <t>Andrew Clark</t>
  </si>
  <si>
    <t>Kellen Johnson</t>
  </si>
  <si>
    <t>William Parham</t>
  </si>
  <si>
    <t>Braiden Stanert</t>
  </si>
  <si>
    <t>Wes Cohn</t>
  </si>
  <si>
    <t>Luke Valyo</t>
  </si>
  <si>
    <t>Isaac Montegue</t>
  </si>
  <si>
    <t>Apex Friendship</t>
  </si>
  <si>
    <t>Shot %</t>
  </si>
  <si>
    <t>Caleb Deak</t>
  </si>
  <si>
    <t>Zander Adkins</t>
  </si>
  <si>
    <t>Shaun Kenedy</t>
  </si>
  <si>
    <t>Gio Sorrosa-Pena</t>
  </si>
  <si>
    <t>Brower Evenhouse</t>
  </si>
  <si>
    <t>Owen Mutch</t>
  </si>
  <si>
    <t>Garrett Skaar</t>
  </si>
  <si>
    <t>Webb Linton</t>
  </si>
  <si>
    <t>Kalem McKinnis-Castille</t>
  </si>
  <si>
    <t>Wakefield</t>
  </si>
  <si>
    <t>Willow Spring</t>
  </si>
  <si>
    <t>Garner</t>
  </si>
  <si>
    <t>23/99</t>
  </si>
  <si>
    <t>Wake Forest</t>
  </si>
  <si>
    <t>Sanderson</t>
  </si>
  <si>
    <t>Luke Ross</t>
  </si>
  <si>
    <t>Braxton Rush</t>
  </si>
  <si>
    <t>Liam Craig</t>
  </si>
  <si>
    <t>Oyewole Popoola</t>
  </si>
  <si>
    <t>Enloe</t>
  </si>
  <si>
    <t>Position Rank</t>
  </si>
  <si>
    <t>Leesville</t>
  </si>
  <si>
    <t>Broughton</t>
  </si>
  <si>
    <t>Green Level</t>
  </si>
  <si>
    <t>Ashley</t>
  </si>
  <si>
    <t>Laney</t>
  </si>
  <si>
    <t>Wins: 5</t>
  </si>
  <si>
    <t>Cardinal Gibbons</t>
  </si>
  <si>
    <t>Losses: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</si>
</sst>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0" borderId="2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46" fontId="0" fillId="0" borderId="0" xfId="0" applyNumberFormat="1"/>
    <xf numFmtId="0" fontId="0" fillId="0" borderId="1" xfId="0" applyBorder="1" applyAlignment="1">
      <alignment horizontal="center"/>
    </xf>
    <xf numFmtId="0" fontId="5" fillId="0" borderId="0" xfId="0" applyNumberFormat="1" applyFont="1" applyFill="1" applyAlignment="1"/>
    <xf numFmtId="0" fontId="2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6" fillId="0" borderId="1" xfId="0" applyFont="1" applyBorder="1" applyAlignment="1">
      <alignment vertical="center" wrapText="1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/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62"/>
  <sheetViews>
    <sheetView tabSelected="1" workbookViewId="0">
      <selection activeCell="R1" sqref="R1:T1048576"/>
    </sheetView>
  </sheetViews>
  <sheetFormatPr baseColWidth="10" defaultColWidth="8.83203125" defaultRowHeight="15" x14ac:dyDescent="0.2"/>
  <cols>
    <col min="1" max="1" width="9.6640625" style="10" bestFit="1" customWidth="1"/>
    <col min="2" max="2" width="5.83203125" style="10" customWidth="1"/>
    <col min="3" max="3" width="20.5" customWidth="1"/>
    <col min="4" max="5" width="11.5" customWidth="1"/>
    <col min="6" max="6" width="10.5" customWidth="1"/>
    <col min="8" max="8" width="10.6640625" bestFit="1" customWidth="1"/>
    <col min="9" max="9" width="10.5" customWidth="1"/>
    <col min="10" max="10" width="10.83203125" customWidth="1"/>
    <col min="11" max="11" width="10.5" customWidth="1"/>
    <col min="16" max="17" width="8.83203125" style="10"/>
    <col min="18" max="18" width="11.5" style="10" hidden="1" customWidth="1"/>
    <col min="19" max="19" width="13.6640625" style="10" hidden="1" customWidth="1"/>
    <col min="20" max="20" width="0" style="10" hidden="1" customWidth="1"/>
  </cols>
  <sheetData>
    <row r="2" spans="1:22" ht="27" x14ac:dyDescent="0.2">
      <c r="A2" s="15" t="s">
        <v>33</v>
      </c>
      <c r="B2" s="15" t="s">
        <v>34</v>
      </c>
      <c r="C2" s="1" t="s">
        <v>0</v>
      </c>
      <c r="D2" s="1" t="s">
        <v>1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82</v>
      </c>
      <c r="J2" s="1" t="s">
        <v>6</v>
      </c>
      <c r="K2" s="1" t="s">
        <v>26</v>
      </c>
      <c r="L2" s="1" t="s">
        <v>7</v>
      </c>
      <c r="M2" s="1" t="s">
        <v>28</v>
      </c>
      <c r="N2" s="1" t="s">
        <v>8</v>
      </c>
      <c r="O2" s="1" t="s">
        <v>9</v>
      </c>
      <c r="P2" s="1" t="s">
        <v>32</v>
      </c>
      <c r="Q2" s="1" t="s">
        <v>64</v>
      </c>
      <c r="R2" s="30" t="s">
        <v>57</v>
      </c>
      <c r="S2" s="30" t="s">
        <v>58</v>
      </c>
      <c r="T2" s="57" t="s">
        <v>103</v>
      </c>
    </row>
    <row r="3" spans="1:22" x14ac:dyDescent="0.2">
      <c r="A3" s="10">
        <v>5</v>
      </c>
      <c r="B3" s="10" t="s">
        <v>35</v>
      </c>
      <c r="C3" t="s">
        <v>69</v>
      </c>
      <c r="D3" s="10">
        <v>18</v>
      </c>
      <c r="E3" s="10">
        <f>1+4+4+4+1+2+5+3+2+0+2+4+4+2+2+1+0+3</f>
        <v>44</v>
      </c>
      <c r="F3" s="10">
        <f>0+1+1+1+0+1+3+2+1+0+1+2+3+1+1+0+0+2</f>
        <v>20</v>
      </c>
      <c r="G3" s="10">
        <f>0+0+0+2+2+2+2+0+0+0+2+1+1+0+1+0+0+0</f>
        <v>13</v>
      </c>
      <c r="H3" s="10">
        <f t="shared" ref="H3:H22" si="0">F3+G3</f>
        <v>33</v>
      </c>
      <c r="I3" s="28">
        <f>F3/E3</f>
        <v>0.45454545454545453</v>
      </c>
      <c r="J3" s="10">
        <f>2+3+4+5+6+5+2+1+6+2+6+1+7+6+2+1+2+3</f>
        <v>64</v>
      </c>
      <c r="K3" s="10"/>
      <c r="L3" s="10"/>
      <c r="M3" s="10"/>
      <c r="N3" s="10">
        <f>0+0+0+0+3+0+0+1+0+0+1+0+0+1+1+0+1+0</f>
        <v>8</v>
      </c>
      <c r="O3" s="29">
        <f>0+0+0+0+3+0+0+2+0+0+1+0+0+1+1+0+0.5+0</f>
        <v>8.5</v>
      </c>
      <c r="P3" s="10">
        <f>1+1+1+1+3+2+2+0+3+0+1+3+2+4+1+3+2+4</f>
        <v>34</v>
      </c>
      <c r="Q3" s="10">
        <f>0+0+2+2+3+2+2+0+1+0+0+0+1+0+0+0+1+0</f>
        <v>14</v>
      </c>
      <c r="R3" s="49">
        <f>(J3+H3+Q3)/(N3+P3)</f>
        <v>2.6428571428571428</v>
      </c>
      <c r="S3" s="49">
        <f t="shared" ref="S3:S23" si="1">(H3+J3+Q3-N3-P3)/D3</f>
        <v>3.8333333333333335</v>
      </c>
      <c r="T3" s="10">
        <v>2</v>
      </c>
    </row>
    <row r="4" spans="1:22" x14ac:dyDescent="0.2">
      <c r="A4" s="10">
        <v>13</v>
      </c>
      <c r="B4" s="10" t="s">
        <v>35</v>
      </c>
      <c r="C4" t="s">
        <v>70</v>
      </c>
      <c r="D4" s="10">
        <v>18</v>
      </c>
      <c r="E4" s="10">
        <f>5+7+2+7+5+5+6+2+5+0+5+4+10+8+0+3+4+3</f>
        <v>81</v>
      </c>
      <c r="F4" s="10">
        <f>2+2+1+4+4+3+3+1+0+0+2+1+2+1+0+0+1+0</f>
        <v>27</v>
      </c>
      <c r="G4" s="10">
        <f>2+2+0+5+2+0+3+2+0+0+0+1+6+1+1+0+0+2</f>
        <v>27</v>
      </c>
      <c r="H4" s="10">
        <f t="shared" si="0"/>
        <v>54</v>
      </c>
      <c r="I4" s="28">
        <f>F4/E4</f>
        <v>0.33333333333333331</v>
      </c>
      <c r="J4" s="10">
        <f>2+3+3+6+3+5+2+1+3+0+3+2+2+3+1+1+0+1</f>
        <v>41</v>
      </c>
      <c r="K4" s="10"/>
      <c r="L4" s="10"/>
      <c r="M4" s="10"/>
      <c r="N4" s="10">
        <f>0+0+0+0+0+0+0+0+0+0+1+0+0+0+0+0+0+0</f>
        <v>1</v>
      </c>
      <c r="O4" s="29">
        <f>0+0+0+0+0+0+0+0+0+0+0.5+0+0+0+0+0+0+0</f>
        <v>0.5</v>
      </c>
      <c r="P4" s="10">
        <f>2+2+2+1+3+2+0+1+2+1+3+3+1+3+0+0+3+1</f>
        <v>30</v>
      </c>
      <c r="Q4" s="10">
        <f>0+0+0+0+0+0+0+2+0+0+0+1+0+0+0+0+0+0</f>
        <v>3</v>
      </c>
      <c r="R4" s="49">
        <f>(J4+H4+Q4)/(N4+P4)</f>
        <v>3.161290322580645</v>
      </c>
      <c r="S4" s="49">
        <f t="shared" si="1"/>
        <v>3.7222222222222223</v>
      </c>
      <c r="T4" s="10">
        <v>3</v>
      </c>
    </row>
    <row r="5" spans="1:22" x14ac:dyDescent="0.2">
      <c r="A5" s="10">
        <v>15</v>
      </c>
      <c r="B5" s="10" t="s">
        <v>35</v>
      </c>
      <c r="C5" t="s">
        <v>83</v>
      </c>
      <c r="D5" s="10">
        <v>6</v>
      </c>
      <c r="E5" s="10">
        <f>0+0+3+0+0+0+1+0+0+0+0+0+0+0+0+0+0+0</f>
        <v>4</v>
      </c>
      <c r="F5" s="10">
        <f>0+0+0+0+0+0+1+0+0+0+0+0+0+0+0+0+0+0</f>
        <v>1</v>
      </c>
      <c r="G5" s="10">
        <f>0+0+0+0+0+0+0+0+0+0+0+0+0+0+0+0+0+0</f>
        <v>0</v>
      </c>
      <c r="H5" s="10">
        <f>F5+G5</f>
        <v>1</v>
      </c>
      <c r="I5" s="28">
        <f t="shared" ref="I5:I29" si="2">F5/E5</f>
        <v>0.25</v>
      </c>
      <c r="J5" s="10">
        <f>0+0+2+1+0+0+0+0+0+0+0+0+0+0+0+0+0+0</f>
        <v>3</v>
      </c>
      <c r="K5" s="10"/>
      <c r="L5" s="10"/>
      <c r="M5" s="10"/>
      <c r="N5" s="10">
        <f>0+0+0+0+0+0+0+0+0+0+1+0+0+0+0+0+0+0</f>
        <v>1</v>
      </c>
      <c r="O5" s="29">
        <f>0+0+0+0+0+0+0+0+0+0+0.5+0+0+0+0+0+0+0</f>
        <v>0.5</v>
      </c>
      <c r="P5" s="10">
        <f>0+0+2+0+0+0+1+0+0+0+0+0+0+0+0+0+0+0</f>
        <v>3</v>
      </c>
      <c r="Q5" s="10">
        <f>0+0+0+0+0+0+0+0+0+0+0+0+0+0+0+0+0+0</f>
        <v>0</v>
      </c>
      <c r="R5" s="45">
        <f t="shared" ref="R5:R29" si="3">(J5+H5+Q5)/(N5+P5)</f>
        <v>1</v>
      </c>
      <c r="S5" s="45">
        <f t="shared" si="1"/>
        <v>0</v>
      </c>
      <c r="T5" s="10">
        <v>4</v>
      </c>
    </row>
    <row r="6" spans="1:22" x14ac:dyDescent="0.2">
      <c r="A6" s="10" t="s">
        <v>95</v>
      </c>
      <c r="B6" s="10" t="s">
        <v>35</v>
      </c>
      <c r="C6" t="s">
        <v>72</v>
      </c>
      <c r="D6" s="10">
        <v>7</v>
      </c>
      <c r="E6" s="10">
        <f>2+7+3+7+9+8+0+0+0+0+0+0+0+0+0+0+0+0</f>
        <v>36</v>
      </c>
      <c r="F6" s="10">
        <f>0+0+3+5+0+3+0+0+0+0+0+0+0+0+0+0+0+0</f>
        <v>11</v>
      </c>
      <c r="G6" s="10">
        <f>0+0+2+1+0+2+1+0+0+0+0+0+0+0+0+0+0+0</f>
        <v>6</v>
      </c>
      <c r="H6" s="10">
        <f t="shared" si="0"/>
        <v>17</v>
      </c>
      <c r="I6" s="28">
        <f t="shared" si="2"/>
        <v>0.30555555555555558</v>
      </c>
      <c r="J6" s="10">
        <f>0+3+5+5+4+4+0+0+0+0+0+0+0+0+0+0+0+0</f>
        <v>21</v>
      </c>
      <c r="K6" s="10"/>
      <c r="L6" s="10"/>
      <c r="M6" s="10"/>
      <c r="N6" s="10">
        <f>0+1+1+0+0+2+0+0+0+0+0+0+0+0+0+0+0+0</f>
        <v>4</v>
      </c>
      <c r="O6" s="29">
        <f>0+1+2+0+0+1+0+0+0+0+0+0+0+0+0+0+0+0</f>
        <v>4</v>
      </c>
      <c r="P6" s="10">
        <f>2+2+1+1+0+2+1+0+0+0+0+0+0+0+0+0+0+0</f>
        <v>9</v>
      </c>
      <c r="Q6" s="10">
        <f>0+0+1+0+1+2+1+0+0+0+0+0+0+0+0+0+0+0</f>
        <v>5</v>
      </c>
      <c r="R6" s="49">
        <f t="shared" si="3"/>
        <v>3.3076923076923075</v>
      </c>
      <c r="S6" s="49">
        <f t="shared" si="1"/>
        <v>4.2857142857142856</v>
      </c>
      <c r="T6" s="10">
        <v>1</v>
      </c>
    </row>
    <row r="7" spans="1:22" x14ac:dyDescent="0.2">
      <c r="A7" s="10">
        <v>1</v>
      </c>
      <c r="B7" s="10" t="s">
        <v>36</v>
      </c>
      <c r="C7" t="s">
        <v>67</v>
      </c>
      <c r="D7" s="10">
        <v>16</v>
      </c>
      <c r="E7" s="10">
        <f>1+2+3+1+3+0+1+1+3+0+0+0+3+0+0+0+0+0</f>
        <v>18</v>
      </c>
      <c r="F7" s="10">
        <f>0+0+0+0+0+0+1+1+1+0+0+0+1+0+0+0+0+0</f>
        <v>4</v>
      </c>
      <c r="G7" s="10">
        <f>0+0+0+0+0+0+0+0+0+0+0+0+0+0+0+0+0+0</f>
        <v>0</v>
      </c>
      <c r="H7" s="10">
        <f>F7+G7</f>
        <v>4</v>
      </c>
      <c r="I7" s="28">
        <f>F7/E7</f>
        <v>0.22222222222222221</v>
      </c>
      <c r="J7" s="10">
        <f>2+0+2+3+1+0+2+1+1+0+0+0+4+3+2+0+1+2</f>
        <v>24</v>
      </c>
      <c r="K7" s="10"/>
      <c r="L7" s="10"/>
      <c r="M7" s="10"/>
      <c r="N7" s="10">
        <f>0+0+0+0+0+0+1+0+2+0+0+0+0+0+0+0+0+1</f>
        <v>4</v>
      </c>
      <c r="O7" s="29">
        <f>0+0+0+0+0+0+1+0+1+0+0+0+0+0+0+0+0+0.5</f>
        <v>2.5</v>
      </c>
      <c r="P7" s="10">
        <f>1+0+0+2+5+0+3+0+0+1+0+0+0+1+1+2+0</f>
        <v>16</v>
      </c>
      <c r="Q7" s="10">
        <f>1+1+0+0+1+0+0+1+0+0+0+0+0+1+0+1+1+0</f>
        <v>7</v>
      </c>
      <c r="R7" s="49">
        <f t="shared" si="3"/>
        <v>1.75</v>
      </c>
      <c r="S7" s="49">
        <f t="shared" si="1"/>
        <v>0.9375</v>
      </c>
      <c r="T7" s="58">
        <v>7</v>
      </c>
    </row>
    <row r="8" spans="1:22" x14ac:dyDescent="0.2">
      <c r="A8" s="10">
        <v>2</v>
      </c>
      <c r="B8" s="10" t="s">
        <v>36</v>
      </c>
      <c r="C8" t="s">
        <v>74</v>
      </c>
      <c r="D8" s="10">
        <v>17</v>
      </c>
      <c r="E8" s="10">
        <f>0+0+3+3+0+1+3+0+1+0+2+1+10+0+1+0+0+1</f>
        <v>26</v>
      </c>
      <c r="F8" s="10">
        <f>0+0+2+1+0+0+2+0+0+0+0+0+1+0+1+0+0+0</f>
        <v>7</v>
      </c>
      <c r="G8" s="10">
        <f>0+0+0+1+0+0+0+0+0+0+0+0+0+0+0+0+0+0</f>
        <v>1</v>
      </c>
      <c r="H8" s="10">
        <f>F8+G8</f>
        <v>8</v>
      </c>
      <c r="I8" s="28">
        <f t="shared" si="2"/>
        <v>0.26923076923076922</v>
      </c>
      <c r="J8" s="10">
        <f>0+0+4+1+0+0+0+0+1+0+4+1+0+0+0+0+0+0</f>
        <v>11</v>
      </c>
      <c r="K8" s="10"/>
      <c r="L8" s="10"/>
      <c r="M8" s="10"/>
      <c r="N8" s="10">
        <f>0+0+0+0+0+0+0+0+0+0+0+0+0+0+0+0+0+0</f>
        <v>0</v>
      </c>
      <c r="O8" s="29">
        <f>0+0+0+0+0+0+0+0+0+0+0+0+0+0+0+0+0+0</f>
        <v>0</v>
      </c>
      <c r="P8" s="10">
        <f>0+0+1+1+0+0+1+0+1+1+1+1+1+0+0+1+0+1</f>
        <v>10</v>
      </c>
      <c r="Q8" s="10">
        <f>0+0+0+0+0+0+0+0+1+0+0+0+1+0+0+0+0+0</f>
        <v>2</v>
      </c>
      <c r="R8" s="49">
        <f t="shared" si="3"/>
        <v>2.1</v>
      </c>
      <c r="S8" s="49">
        <f t="shared" si="1"/>
        <v>0.6470588235294118</v>
      </c>
      <c r="T8" s="58">
        <v>8</v>
      </c>
    </row>
    <row r="9" spans="1:22" x14ac:dyDescent="0.2">
      <c r="A9" s="10">
        <v>3</v>
      </c>
      <c r="B9" s="10" t="s">
        <v>36</v>
      </c>
      <c r="C9" t="s">
        <v>66</v>
      </c>
      <c r="D9" s="10">
        <v>18</v>
      </c>
      <c r="E9" s="10">
        <f>3+6+8+5+3+3+8+2+2+3+5+11+5+6+2+2+1+5</f>
        <v>80</v>
      </c>
      <c r="F9" s="10">
        <f>2+0+2+2+1+1+2+0+0+0+3+5+2+3+1+0+0+0</f>
        <v>24</v>
      </c>
      <c r="G9" s="10">
        <f>1+0+1+1+1+1+0+0+2+0+1+2+2+1+0+0+1+0</f>
        <v>14</v>
      </c>
      <c r="H9" s="10">
        <f t="shared" si="0"/>
        <v>38</v>
      </c>
      <c r="I9" s="28">
        <f t="shared" si="2"/>
        <v>0.3</v>
      </c>
      <c r="J9" s="10">
        <f>5+3+11+15+9+9+17+0+3+6+13+3+5+2+1+0+1+4</f>
        <v>107</v>
      </c>
      <c r="K9" s="10">
        <f>15+9+13+12+16+17+21+4+12+12+24+19+0+12+3+8+1+7</f>
        <v>205</v>
      </c>
      <c r="L9" s="10">
        <f>10+0+12+12+11+13+19+1+6+5+15+10+0+7+0+2+0+1</f>
        <v>124</v>
      </c>
      <c r="M9" s="28">
        <f>L9/K9</f>
        <v>0.60487804878048779</v>
      </c>
      <c r="N9" s="10">
        <f>0+2+0+0+1+0+0+1+0+0+0+0+0+1+1+0+0+1</f>
        <v>7</v>
      </c>
      <c r="O9" s="29">
        <f>0+2+0+0+1+0+0+0.5+0+0+0+0+0+1+2+0+0+1</f>
        <v>7.5</v>
      </c>
      <c r="P9" s="10">
        <f>3+1+4+1+3+1+0+0+0+0+4+2+0+0+2+0+2+0</f>
        <v>23</v>
      </c>
      <c r="Q9" s="10">
        <f>0+0+0+1+1+0+0+0+1+0+1+0+2+1+0+0+2+1</f>
        <v>10</v>
      </c>
      <c r="R9" s="49">
        <f t="shared" si="3"/>
        <v>5.166666666666667</v>
      </c>
      <c r="S9" s="49">
        <f t="shared" si="1"/>
        <v>6.9444444444444446</v>
      </c>
      <c r="T9" s="58">
        <v>1</v>
      </c>
    </row>
    <row r="10" spans="1:22" x14ac:dyDescent="0.2">
      <c r="A10" s="10">
        <v>4</v>
      </c>
      <c r="B10" s="10" t="s">
        <v>36</v>
      </c>
      <c r="C10" t="s">
        <v>73</v>
      </c>
      <c r="D10" s="10">
        <v>18</v>
      </c>
      <c r="E10" s="10">
        <f>0+0+0+0+0+0+0+0+0+0+0+0+0+0+1+0+1+0</f>
        <v>2</v>
      </c>
      <c r="F10" s="10">
        <f>0+0+0+0+0+0+0+0+0+0+0+0+0+0+0+0+0+0</f>
        <v>0</v>
      </c>
      <c r="G10" s="10">
        <f>0+0+0+0+0+0+0+0+0+0+0+0+0+0+0+0+0+0</f>
        <v>0</v>
      </c>
      <c r="H10" s="10">
        <f>F10+G10</f>
        <v>0</v>
      </c>
      <c r="I10" s="28">
        <f t="shared" si="2"/>
        <v>0</v>
      </c>
      <c r="J10" s="10">
        <f>0+1+2+1+2+0+2+0+1+1+0+2+5+2+1+0+1+0</f>
        <v>21</v>
      </c>
      <c r="K10" s="10">
        <f>7+7+7+7+8+5+7+7+9+1+2+5+22+9+7+11+23+8</f>
        <v>152</v>
      </c>
      <c r="L10" s="10">
        <f>3+1+6+3+4+3+5+0+1+0+0+2+20+3+1+1+4+3</f>
        <v>60</v>
      </c>
      <c r="M10" s="28">
        <f>L10/K10</f>
        <v>0.39473684210526316</v>
      </c>
      <c r="N10" s="10">
        <f>0+0+0+0+0+0+0+0+0+1+0+0+0+0+1+0+0+0</f>
        <v>2</v>
      </c>
      <c r="O10" s="29">
        <f>0+0+0+0+0+0+0+0+0+0.5+0+0+0+0+0.5+0+0+0</f>
        <v>1</v>
      </c>
      <c r="P10" s="10">
        <f>0+1+0+0+1+0+0+0+0+0+1+1+0+0+0+0+1+0</f>
        <v>5</v>
      </c>
      <c r="Q10" s="10">
        <f>0+1+0+0+0+0+0+0+0+0+1+1+0+2+0+0+0+1</f>
        <v>6</v>
      </c>
      <c r="R10" s="49">
        <f t="shared" si="3"/>
        <v>3.8571428571428572</v>
      </c>
      <c r="S10" s="49">
        <f t="shared" si="1"/>
        <v>1.1111111111111112</v>
      </c>
      <c r="T10" s="58">
        <v>5</v>
      </c>
    </row>
    <row r="11" spans="1:22" x14ac:dyDescent="0.2">
      <c r="A11" s="10">
        <v>6</v>
      </c>
      <c r="B11" s="10" t="s">
        <v>36</v>
      </c>
      <c r="C11" t="s">
        <v>84</v>
      </c>
      <c r="D11" s="10">
        <v>8</v>
      </c>
      <c r="E11" s="10">
        <f>1+0+2+0+0+0+1+0+0+0+0+1+0+0+0+0+0+0</f>
        <v>5</v>
      </c>
      <c r="F11" s="10">
        <f>0+0+0+0+0+0+0+0+0+0+0+0+0+0+0+0+0+0</f>
        <v>0</v>
      </c>
      <c r="G11" s="10">
        <f>0+0+1+0+0+0+1+0+0+0+0+1+0+0+0+0+0+0</f>
        <v>3</v>
      </c>
      <c r="H11" s="10">
        <f>F11+G11</f>
        <v>3</v>
      </c>
      <c r="I11" s="28">
        <f t="shared" si="2"/>
        <v>0</v>
      </c>
      <c r="J11" s="10">
        <f>0+0+2+0+0+0+3+0+0+3+0+2+0+0+0+0+0+0</f>
        <v>10</v>
      </c>
      <c r="K11" s="10"/>
      <c r="L11" s="10"/>
      <c r="M11" s="28"/>
      <c r="N11" s="10">
        <f>0+0+0+0+0+0+0+0+0+0+1+2+0+0+0+0+0+0</f>
        <v>3</v>
      </c>
      <c r="O11" s="29">
        <f>0+0+0+0+0+0+0+0+0+0+0.5+1+0+0+0+0+0+0</f>
        <v>1.5</v>
      </c>
      <c r="P11" s="10">
        <f>0+0+2+0+0+0+1+0+0+3+1+2+0+0+0+0+0+0</f>
        <v>9</v>
      </c>
      <c r="Q11" s="10">
        <f>0+0+2+1+0+0+1+0+1+0+0+2+0+0+0+0+0+0</f>
        <v>7</v>
      </c>
      <c r="R11" s="49">
        <f t="shared" si="3"/>
        <v>1.6666666666666667</v>
      </c>
      <c r="S11" s="49">
        <f t="shared" si="1"/>
        <v>1</v>
      </c>
      <c r="T11" s="58">
        <v>6</v>
      </c>
    </row>
    <row r="12" spans="1:22" x14ac:dyDescent="0.2">
      <c r="A12" s="10">
        <v>7</v>
      </c>
      <c r="B12" s="10" t="s">
        <v>36</v>
      </c>
      <c r="C12" t="s">
        <v>76</v>
      </c>
      <c r="D12" s="10">
        <v>18</v>
      </c>
      <c r="E12" s="10">
        <f>0+0+0+0+0+0+0+0+0+0+0+0+0+0+0+0+0+0</f>
        <v>0</v>
      </c>
      <c r="F12" s="10">
        <f>0+0+0+0+0+0+0+0+0+0+0+0+0+0+0+0+0+0</f>
        <v>0</v>
      </c>
      <c r="G12" s="10">
        <f>0+0+0+0+0+0+0+0+0+0+0+0+0+0+0+0+0+0</f>
        <v>0</v>
      </c>
      <c r="H12" s="10">
        <f t="shared" si="0"/>
        <v>0</v>
      </c>
      <c r="I12" s="28" t="e">
        <f t="shared" si="2"/>
        <v>#DIV/0!</v>
      </c>
      <c r="J12" s="10">
        <f>0+0+2+1+2+1+0+0+1+0+1+0+0+0+0+0+0+0</f>
        <v>8</v>
      </c>
      <c r="K12" s="10"/>
      <c r="L12" s="10"/>
      <c r="M12" s="28"/>
      <c r="N12" s="10">
        <f>0+0+0+0+0+0+1+0+0+0+0+0+0+0+0+0+0+0</f>
        <v>1</v>
      </c>
      <c r="O12" s="29">
        <f>0+0+0+0+0+0+0.5+0+0+0+0+0+0+0+0+0+0+0</f>
        <v>0.5</v>
      </c>
      <c r="P12" s="10">
        <f>0+0+0+0+1+2+0+1+2+0+1+0+0+0+0+0+0</f>
        <v>7</v>
      </c>
      <c r="Q12" s="10">
        <f>0+0+0+0+0+1+0+0+0+0+0+0+0+0+0+0+0+0</f>
        <v>1</v>
      </c>
      <c r="R12" s="49">
        <f t="shared" si="3"/>
        <v>1.125</v>
      </c>
      <c r="S12" s="49">
        <f t="shared" si="1"/>
        <v>5.5555555555555552E-2</v>
      </c>
      <c r="T12" s="58">
        <v>12</v>
      </c>
    </row>
    <row r="13" spans="1:22" x14ac:dyDescent="0.2">
      <c r="A13" s="10">
        <v>8</v>
      </c>
      <c r="B13" s="10" t="s">
        <v>36</v>
      </c>
      <c r="C13" t="s">
        <v>65</v>
      </c>
      <c r="D13" s="10">
        <v>18</v>
      </c>
      <c r="E13" s="10">
        <f>5+5+8+12+5+13+2+5+9+2+9+6+11+17+7+3+1+5</f>
        <v>125</v>
      </c>
      <c r="F13" s="10">
        <f>1+2+2+3+1+2+1+2+1+0+3+0+5+2+2+0+0+0</f>
        <v>27</v>
      </c>
      <c r="G13" s="10">
        <f>0+0+0+0+0+0+1+0+0+0+0+0+0+0+0+0+0+0</f>
        <v>1</v>
      </c>
      <c r="H13" s="10">
        <f>F13+G13</f>
        <v>28</v>
      </c>
      <c r="I13" s="28">
        <f>F13/E13</f>
        <v>0.216</v>
      </c>
      <c r="J13" s="10">
        <f>3+2+0+3+1+2+1+2+1+1+1+2+1+3+0+0+2+2</f>
        <v>27</v>
      </c>
      <c r="K13" s="10"/>
      <c r="L13" s="10"/>
      <c r="N13" s="10">
        <f>0+0+0+1+1+0+1+0+1+0+0+2+0+2+1+0+1+1</f>
        <v>11</v>
      </c>
      <c r="O13" s="29">
        <f>0+0+0+1+2+0+0.5+0+0.5+0+0+1.5+0+2+1+0+1</f>
        <v>9.5</v>
      </c>
      <c r="P13" s="10">
        <f>3+1+0+0+1+1+1+1+4+3+3+0+1+1+0+0+1+2</f>
        <v>23</v>
      </c>
      <c r="Q13" s="10">
        <f>0+0+0+2+2+0+1+0+0+0+0+1+0+0+0+0+0+1</f>
        <v>7</v>
      </c>
      <c r="R13" s="49">
        <f t="shared" si="3"/>
        <v>1.8235294117647058</v>
      </c>
      <c r="S13" s="49">
        <f t="shared" si="1"/>
        <v>1.5555555555555556</v>
      </c>
      <c r="T13" s="58">
        <v>4</v>
      </c>
    </row>
    <row r="14" spans="1:22" x14ac:dyDescent="0.2">
      <c r="A14" s="10">
        <v>9</v>
      </c>
      <c r="B14" s="10" t="s">
        <v>36</v>
      </c>
      <c r="C14" t="s">
        <v>85</v>
      </c>
      <c r="D14" s="10">
        <v>18</v>
      </c>
      <c r="E14" s="10">
        <f>1+1+5+1+3+2+1+3+1+3+6+2+9+5+4+1+2+0</f>
        <v>50</v>
      </c>
      <c r="F14" s="10">
        <f>0+0+0+1+1+0+1+1+0+0+2+2+3+1+3+0+1+0</f>
        <v>16</v>
      </c>
      <c r="G14" s="10">
        <f>0+0+1+1+1+0+2+0+0+0+2+0+1+0+0+0+0+0</f>
        <v>8</v>
      </c>
      <c r="H14" s="10">
        <f t="shared" si="0"/>
        <v>24</v>
      </c>
      <c r="I14" s="28">
        <f t="shared" si="2"/>
        <v>0.32</v>
      </c>
      <c r="J14" s="10">
        <f>2+2+3+3+2+0+6+4+4+5+6+4+8+6+3+3+6+3</f>
        <v>70</v>
      </c>
      <c r="K14" s="10"/>
      <c r="L14" s="10"/>
      <c r="M14" s="28"/>
      <c r="N14" s="10">
        <f>0+0+0+0+1+0+0+0+0+1+0+0+0+1+0+0+0+0</f>
        <v>3</v>
      </c>
      <c r="O14" s="29">
        <f>0+0+0+0+1+0+0+0+0+0.5+0+0+0+0.5+0+0+0+0</f>
        <v>2</v>
      </c>
      <c r="P14" s="10">
        <f>0+2+1+0+0+0+0+1+1+1+1+3+2+0+2+2+1+4</f>
        <v>21</v>
      </c>
      <c r="Q14" s="10">
        <f>0+1+2+2+1+0+3+1+2+2+1+1+1+1+0+4+3+2</f>
        <v>27</v>
      </c>
      <c r="R14" s="49">
        <f t="shared" si="3"/>
        <v>5.041666666666667</v>
      </c>
      <c r="S14" s="49">
        <f t="shared" si="1"/>
        <v>5.3888888888888893</v>
      </c>
      <c r="T14" s="58">
        <v>2</v>
      </c>
    </row>
    <row r="15" spans="1:22" x14ac:dyDescent="0.2">
      <c r="A15" s="10">
        <v>20</v>
      </c>
      <c r="B15" s="10" t="s">
        <v>36</v>
      </c>
      <c r="C15" t="s">
        <v>86</v>
      </c>
      <c r="D15" s="10">
        <v>14</v>
      </c>
      <c r="E15" s="10">
        <f>0+0+0+0+0+0+0+0+0+0+0+0+1+0+0+0+0+0</f>
        <v>1</v>
      </c>
      <c r="F15" s="10">
        <f>0+0+0+0+0+0+0+0+0+0+0+0+0+0+0+0+0+0</f>
        <v>0</v>
      </c>
      <c r="G15" s="10">
        <f>0+0+0+0+0+0+0+0+0+0+0+0+0+0+0+0+0+0</f>
        <v>0</v>
      </c>
      <c r="H15" s="10">
        <f>F15+G15</f>
        <v>0</v>
      </c>
      <c r="I15" s="28">
        <f t="shared" si="2"/>
        <v>0</v>
      </c>
      <c r="J15" s="10">
        <f>0+0+0+0+0+0+0+1+0+0+0+0+1+0+0+0+0+0</f>
        <v>2</v>
      </c>
      <c r="K15" s="10"/>
      <c r="L15" s="10"/>
      <c r="N15" s="10">
        <f>0+0+0+0+0+0+0+0+0+0+0+0+2+0+0+0+0+0</f>
        <v>2</v>
      </c>
      <c r="O15" s="29">
        <f>0+0+0+0+0+0+0+0+0+0+0+0+4+0+0+0+0+0</f>
        <v>4</v>
      </c>
      <c r="P15" s="10">
        <f>0+0+0+0+0+0+0+0+0+1+0+0+1+0+0+0+0+0</f>
        <v>2</v>
      </c>
      <c r="Q15" s="10">
        <f>0+0+1+1+1+0+0+1+0+0+0+0+0+0+0+0+0+0</f>
        <v>4</v>
      </c>
      <c r="R15" s="49">
        <f t="shared" si="3"/>
        <v>1.5</v>
      </c>
      <c r="S15" s="49">
        <f t="shared" si="1"/>
        <v>0.14285714285714285</v>
      </c>
      <c r="T15" s="58">
        <v>11</v>
      </c>
      <c r="V15" s="28"/>
    </row>
    <row r="16" spans="1:22" x14ac:dyDescent="0.2">
      <c r="A16" s="10">
        <v>21</v>
      </c>
      <c r="B16" s="10" t="s">
        <v>36</v>
      </c>
      <c r="C16" t="s">
        <v>77</v>
      </c>
      <c r="D16" s="10">
        <v>8</v>
      </c>
      <c r="E16" s="10">
        <f>6+0+3+4+3+3+3+4+0+0+0+0+0+0+0+0+0+0</f>
        <v>26</v>
      </c>
      <c r="F16" s="10">
        <f>0+0+2+0+0+1+1+0+0+0+0+0+0+0+0+0+0+0</f>
        <v>4</v>
      </c>
      <c r="G16" s="10">
        <f>0+1+1+1+0+0+0+0+0+0+0+0+0+0+0+0+0+0</f>
        <v>3</v>
      </c>
      <c r="H16" s="10">
        <f>F16+G16</f>
        <v>7</v>
      </c>
      <c r="I16" s="28">
        <f t="shared" si="2"/>
        <v>0.15384615384615385</v>
      </c>
      <c r="J16" s="10">
        <f>0+2+1+4+2+2+2+0+0+0+0+0+0+0+0+0+0+0</f>
        <v>13</v>
      </c>
      <c r="K16" s="10"/>
      <c r="L16" s="10"/>
      <c r="M16" s="28"/>
      <c r="N16" s="10">
        <f>0+0+1+1+0+0+0+0+0+0+0+0+0+0+0+0+0+0</f>
        <v>2</v>
      </c>
      <c r="O16" s="29">
        <f>0+0+1+0.5+0+0+0+0+0+0+0+0+0+0+0+0+0+0</f>
        <v>1.5</v>
      </c>
      <c r="P16" s="10">
        <f>0+0+0+1+3+0+0+0+0+0+0+0+0+0+0+0+0+0</f>
        <v>4</v>
      </c>
      <c r="Q16" s="10">
        <f>0+0+0+1+2+0+2+1+0+0+0+0+0+0+0+0+0+0</f>
        <v>6</v>
      </c>
      <c r="R16" s="49">
        <f t="shared" si="3"/>
        <v>4.333333333333333</v>
      </c>
      <c r="S16" s="49">
        <f t="shared" si="1"/>
        <v>2.5</v>
      </c>
      <c r="T16" s="58">
        <v>3</v>
      </c>
    </row>
    <row r="17" spans="1:21" x14ac:dyDescent="0.2">
      <c r="A17" s="10">
        <v>22</v>
      </c>
      <c r="B17" s="10" t="s">
        <v>36</v>
      </c>
      <c r="C17" t="s">
        <v>71</v>
      </c>
      <c r="D17" s="10">
        <v>16</v>
      </c>
      <c r="E17" s="10">
        <f>0+1+1+3+0+0+2+1+0+2+0+0+4+1+0+0+0+0</f>
        <v>15</v>
      </c>
      <c r="F17" s="10">
        <f>0+0+0+1+0+0+1+0+0+0+0+0+0+0+0+0+0+0</f>
        <v>2</v>
      </c>
      <c r="G17" s="10">
        <f>0+0+0+1+0+1+1+0+0+0+0+0+0+0+0+0+0+0</f>
        <v>3</v>
      </c>
      <c r="H17" s="10">
        <f>F17+G17</f>
        <v>5</v>
      </c>
      <c r="I17" s="28">
        <f t="shared" si="2"/>
        <v>0.13333333333333333</v>
      </c>
      <c r="J17" s="10">
        <f>0+0+2+3+0+0+2+0+2+2+0+0+4+2+0+2+0+2</f>
        <v>21</v>
      </c>
      <c r="K17" s="10"/>
      <c r="L17" s="10"/>
      <c r="M17" s="11"/>
      <c r="N17" s="10">
        <f>0+0+0+0+0+0+0+0+0+0+0+0+0+1+0+0+0+0</f>
        <v>1</v>
      </c>
      <c r="O17" s="29">
        <f>0+0+0+0+0+0+0+0+0+0+0+0+0+1+0+0+0+0</f>
        <v>1</v>
      </c>
      <c r="P17" s="10">
        <f>0+0+0+0+1+0+0+1+3+1+0+0+3+1+0+4+4+2</f>
        <v>20</v>
      </c>
      <c r="Q17" s="10">
        <f>0+0+1+0+0+0+0+0+0+0+0+0+1+0+0+0+0+0</f>
        <v>2</v>
      </c>
      <c r="R17" s="49">
        <f t="shared" si="3"/>
        <v>1.3333333333333333</v>
      </c>
      <c r="S17" s="49">
        <f t="shared" si="1"/>
        <v>0.4375</v>
      </c>
      <c r="T17" s="58">
        <v>9</v>
      </c>
    </row>
    <row r="18" spans="1:21" x14ac:dyDescent="0.2">
      <c r="A18" s="10">
        <v>25</v>
      </c>
      <c r="B18" s="10" t="s">
        <v>36</v>
      </c>
      <c r="C18" t="s">
        <v>87</v>
      </c>
      <c r="D18" s="10">
        <v>5</v>
      </c>
      <c r="E18" s="10">
        <f>0+0+2+0+0+0+0+0+0+0+0+0+0+0+0+0+0+0</f>
        <v>2</v>
      </c>
      <c r="F18" s="10">
        <f>0+0+1+0+0+0+0+0+0+0+0+0+0+0+0+0+0+0</f>
        <v>1</v>
      </c>
      <c r="G18" s="10">
        <f>0+0+0+0+0+0+0+0+0+0+0+0+0+0+0+0+0+0</f>
        <v>0</v>
      </c>
      <c r="H18" s="10">
        <f t="shared" si="0"/>
        <v>1</v>
      </c>
      <c r="I18" s="28">
        <f t="shared" si="2"/>
        <v>0.5</v>
      </c>
      <c r="J18" s="10">
        <f>1+0+0+2+0+0+0+0+0+0+0+0+0+0+0+0+0+0</f>
        <v>3</v>
      </c>
      <c r="K18" s="10"/>
      <c r="L18" s="10"/>
      <c r="M18" s="11"/>
      <c r="N18" s="10">
        <f>0+0+0+0+0+0+0+0+0+0+0+0+0+0+0+0+0+0</f>
        <v>0</v>
      </c>
      <c r="O18" s="29">
        <f>0+0+0+0+0+0+0+0+0+0+0+0+0+0+0+0+0+0</f>
        <v>0</v>
      </c>
      <c r="P18" s="10">
        <f>2+0+0+0+0+0+0+0+0+0+0+0+0+0+0+0+0+0</f>
        <v>2</v>
      </c>
      <c r="Q18" s="10">
        <f>0+0+0+0+0+0+0+0+0+0+0+0+0+0+0+0+0+0</f>
        <v>0</v>
      </c>
      <c r="R18" s="49">
        <f t="shared" si="3"/>
        <v>2</v>
      </c>
      <c r="S18" s="49">
        <f t="shared" si="1"/>
        <v>0.4</v>
      </c>
      <c r="T18" s="58">
        <v>10</v>
      </c>
    </row>
    <row r="19" spans="1:21" x14ac:dyDescent="0.2">
      <c r="A19" s="10">
        <v>17</v>
      </c>
      <c r="B19" s="10" t="s">
        <v>61</v>
      </c>
      <c r="C19" t="s">
        <v>78</v>
      </c>
      <c r="D19" s="10">
        <v>18</v>
      </c>
      <c r="E19" s="10">
        <f>0+0+6+2+0+1+4+1+5+1+5+5+5+4+0+4+0+1</f>
        <v>44</v>
      </c>
      <c r="F19" s="10">
        <f>0+0+3+0+0+0+3+0+1+0+0+0+0+1+0+1+0+0</f>
        <v>9</v>
      </c>
      <c r="G19" s="10">
        <f>0+1+0+2+0+1+1+0+0+0+0+0+1+0+0+0+0</f>
        <v>6</v>
      </c>
      <c r="H19" s="10">
        <f t="shared" si="0"/>
        <v>15</v>
      </c>
      <c r="I19" s="28">
        <f t="shared" si="2"/>
        <v>0.20454545454545456</v>
      </c>
      <c r="J19" s="10">
        <f>4+8+5+6+8+11+8+3+8+3+6+12+9+12+6+2+3+3</f>
        <v>117</v>
      </c>
      <c r="K19" s="10">
        <f>11+3+1+19+1</f>
        <v>35</v>
      </c>
      <c r="L19" s="10">
        <f>0+0+0+3+0</f>
        <v>3</v>
      </c>
      <c r="M19" s="28">
        <f>L19/K19</f>
        <v>8.5714285714285715E-2</v>
      </c>
      <c r="N19" s="10">
        <f>1+0+0+0+2+0+1+4+1+1+1+2+0+1+6+1+1+4</f>
        <v>26</v>
      </c>
      <c r="O19" s="29">
        <f>2+0+0+0+2+0+2+4+1+1+1+2+0+1+6.5+1+1+3</f>
        <v>27.5</v>
      </c>
      <c r="P19" s="10">
        <f>0+0+4+1+3+6+2+0+4+2+3+3+0+5+1+1+1+1</f>
        <v>37</v>
      </c>
      <c r="Q19" s="10">
        <f>0+6+2+5+5+3+2+0+5+2+5+4+5+6+2+1+2+2</f>
        <v>57</v>
      </c>
      <c r="R19" s="49">
        <f t="shared" si="3"/>
        <v>3</v>
      </c>
      <c r="S19" s="49">
        <f t="shared" si="1"/>
        <v>7</v>
      </c>
      <c r="T19" s="59">
        <v>1</v>
      </c>
    </row>
    <row r="20" spans="1:21" x14ac:dyDescent="0.2">
      <c r="A20" s="10">
        <v>19</v>
      </c>
      <c r="B20" s="10" t="s">
        <v>61</v>
      </c>
      <c r="C20" t="s">
        <v>79</v>
      </c>
      <c r="D20" s="10">
        <v>18</v>
      </c>
      <c r="E20" s="10">
        <f>0+1+0+0+1+0+1+0+0+0+0+0+3+0+0+0+0+0</f>
        <v>6</v>
      </c>
      <c r="F20" s="10">
        <f>0+0+0+0+0+0+0+0+0+0+0+0+1+0+0+0+0+0</f>
        <v>1</v>
      </c>
      <c r="G20" s="10">
        <f>0+0+0+0+0+0+0+0+0+0+0+0+0+0+0+0+0+0</f>
        <v>0</v>
      </c>
      <c r="H20" s="10">
        <f t="shared" si="0"/>
        <v>1</v>
      </c>
      <c r="I20" s="28">
        <f t="shared" si="2"/>
        <v>0.16666666666666666</v>
      </c>
      <c r="J20" s="10">
        <f>2+2+0+1+5+1+3+1+2+4+1+1+2+2+0+0+0+1</f>
        <v>28</v>
      </c>
      <c r="K20" s="10"/>
      <c r="L20" s="10"/>
      <c r="N20" s="10">
        <f>0+1+0+0+0+2+0+1+0+0+0+3+0+0+1+0+0+3</f>
        <v>11</v>
      </c>
      <c r="O20" s="29">
        <f>0+1+0+0+0+1.5+0+1+0+0+0+3+0+0+1+0+0+4</f>
        <v>11.5</v>
      </c>
      <c r="P20" s="10">
        <f>1+0+0+0+2+0+1+1+3+2+0+0+1+1+0+0+0+1</f>
        <v>13</v>
      </c>
      <c r="Q20" s="10">
        <f>0+1+1+0+1+1+4+1+1+1+0+0+2+0+0+0+0+1</f>
        <v>14</v>
      </c>
      <c r="R20" s="49">
        <f t="shared" si="3"/>
        <v>1.7916666666666667</v>
      </c>
      <c r="S20" s="49">
        <f t="shared" si="1"/>
        <v>1.0555555555555556</v>
      </c>
      <c r="T20" s="59">
        <v>2</v>
      </c>
    </row>
    <row r="21" spans="1:21" x14ac:dyDescent="0.2">
      <c r="A21" s="10">
        <v>10</v>
      </c>
      <c r="B21" s="10" t="s">
        <v>37</v>
      </c>
      <c r="C21" t="s">
        <v>88</v>
      </c>
      <c r="D21" s="10">
        <v>18</v>
      </c>
      <c r="E21" s="10">
        <f>0+0+0+0+0+0+0+0+0+0+0+0+1+0+0+0+0+0</f>
        <v>1</v>
      </c>
      <c r="F21" s="10">
        <f>0+0+0+0+0+0+0+0+0+0+0+0+0+0+0+0+0+0</f>
        <v>0</v>
      </c>
      <c r="G21" s="10">
        <f>0+0+0+0+0+0+0+0+0+0+0+0+0+0+0+0+0+0</f>
        <v>0</v>
      </c>
      <c r="H21" s="10">
        <f t="shared" si="0"/>
        <v>0</v>
      </c>
      <c r="I21" s="28">
        <f t="shared" si="2"/>
        <v>0</v>
      </c>
      <c r="J21" s="10">
        <f>0+1+2+2+1+0+1+0+3+2+0+3+2+0+1+1+0+0</f>
        <v>19</v>
      </c>
      <c r="K21" s="10">
        <v>1</v>
      </c>
      <c r="L21" s="10">
        <v>0</v>
      </c>
      <c r="M21" s="28">
        <f>L21/K21</f>
        <v>0</v>
      </c>
      <c r="N21" s="10">
        <f>0+0+0+0+0+0+0+0+0+0+0+2+0+0+1+0+0+0</f>
        <v>3</v>
      </c>
      <c r="O21" s="29">
        <f>0+0+0+0+0+0+0+0+0+0+0+1.5+0+0+1+0+0+0</f>
        <v>2.5</v>
      </c>
      <c r="P21" s="10">
        <f>0+1+0+1+0+0+1+0+2+1+0+0+0+0+0+2+0+0</f>
        <v>8</v>
      </c>
      <c r="Q21" s="10">
        <f>0+1+0+0+2+0+1+1+0+0+0+1+0+1+0+1+0+1</f>
        <v>9</v>
      </c>
      <c r="R21" s="49">
        <f t="shared" si="3"/>
        <v>2.5454545454545454</v>
      </c>
      <c r="S21" s="49">
        <f t="shared" si="1"/>
        <v>0.94444444444444442</v>
      </c>
      <c r="T21" s="59">
        <v>3</v>
      </c>
      <c r="U21" s="44"/>
    </row>
    <row r="22" spans="1:21" x14ac:dyDescent="0.2">
      <c r="A22" s="10">
        <v>12</v>
      </c>
      <c r="B22" s="10" t="s">
        <v>37</v>
      </c>
      <c r="C22" t="s">
        <v>68</v>
      </c>
      <c r="D22" s="10">
        <v>16</v>
      </c>
      <c r="E22" s="10">
        <f>0+0+0+0+0+0+0+0+0+0+0+0+0+0+0+0+0+0</f>
        <v>0</v>
      </c>
      <c r="F22" s="10">
        <f>0+0+0+0+0+0+0+0+0+0+0+0+0+0+0+0+0+0</f>
        <v>0</v>
      </c>
      <c r="G22" s="10">
        <f>0+0+0+0+0+0+0+0+0+0+0+0+0+0+0+0+0+0</f>
        <v>0</v>
      </c>
      <c r="H22" s="10">
        <f t="shared" si="0"/>
        <v>0</v>
      </c>
      <c r="I22" s="28" t="e">
        <f t="shared" si="2"/>
        <v>#DIV/0!</v>
      </c>
      <c r="J22" s="10">
        <f>1+2+0+0+0+1+0+0+4+0+1+0+0+2+2+1+1+0</f>
        <v>15</v>
      </c>
      <c r="K22" s="10"/>
      <c r="L22" s="10"/>
      <c r="N22" s="10">
        <f>0+1+0+0+1+1+0+1+0+1+2+0+1+1+0+0+0+1</f>
        <v>10</v>
      </c>
      <c r="O22" s="29">
        <f>0+1+0+0+1+1+0+1+0+1+1.5+0+1+0.5+0+0+0+1</f>
        <v>9</v>
      </c>
      <c r="P22" s="10">
        <f>0+1+0+0+2+1+0+2+3+0+0+0+1+0+1+0+1+2</f>
        <v>14</v>
      </c>
      <c r="Q22" s="10">
        <f>1+2+0+0+1+2+0+0+2+0+1+1+0+0+1+0+0+2</f>
        <v>13</v>
      </c>
      <c r="R22" s="49">
        <f t="shared" si="3"/>
        <v>1.1666666666666667</v>
      </c>
      <c r="S22" s="49">
        <f t="shared" si="1"/>
        <v>0.25</v>
      </c>
      <c r="T22" s="59">
        <v>5</v>
      </c>
    </row>
    <row r="23" spans="1:21" x14ac:dyDescent="0.2">
      <c r="A23" s="10">
        <v>14</v>
      </c>
      <c r="B23" s="10" t="s">
        <v>37</v>
      </c>
      <c r="C23" t="s">
        <v>75</v>
      </c>
      <c r="D23" s="10">
        <v>13</v>
      </c>
      <c r="E23" s="10">
        <f>0+0+0+0+0+0+0+0+0+0+0+0+0+0+0+0+0+0</f>
        <v>0</v>
      </c>
      <c r="F23" s="10">
        <f>0+0+0+0+0+0+0+0+0+0+0+0+0+0+0+0+0+0</f>
        <v>0</v>
      </c>
      <c r="G23" s="10">
        <f>0+0+0+0+0+0+0+0+0+0+0+0+0+0+0+0+0+0</f>
        <v>0</v>
      </c>
      <c r="H23" s="10">
        <f>F23+G23</f>
        <v>0</v>
      </c>
      <c r="I23" s="28" t="e">
        <f t="shared" si="2"/>
        <v>#DIV/0!</v>
      </c>
      <c r="J23" s="10">
        <f>0+1+0+0+0+0+0+1+0+0+0+0+1+0+0+1+0+0</f>
        <v>4</v>
      </c>
      <c r="K23" s="10"/>
      <c r="L23" s="10"/>
      <c r="M23" s="28"/>
      <c r="N23" s="10">
        <f>0+0+0+0+0+0+0+1+0+0+0+0+0+0+2+0+0+2</f>
        <v>5</v>
      </c>
      <c r="O23" s="29">
        <f>0+0+0+0+0+0+0+1+0+0+0+0+0+0+2+0+0+2</f>
        <v>5</v>
      </c>
      <c r="P23" s="10">
        <f>0+1+0+0+0+1+0+0+0+0+0+0+0+1+1+0+0+0</f>
        <v>4</v>
      </c>
      <c r="Q23" s="10">
        <f>0+2+0+0+0+0+1+1+0+0+0+0+2+0+0+0+0+0</f>
        <v>6</v>
      </c>
      <c r="R23" s="49">
        <f t="shared" si="3"/>
        <v>1.1111111111111112</v>
      </c>
      <c r="S23" s="49">
        <f t="shared" si="1"/>
        <v>7.6923076923076927E-2</v>
      </c>
      <c r="T23" s="59">
        <v>6</v>
      </c>
    </row>
    <row r="24" spans="1:21" x14ac:dyDescent="0.2">
      <c r="A24" s="10">
        <v>16</v>
      </c>
      <c r="B24" s="10" t="s">
        <v>37</v>
      </c>
      <c r="C24" t="s">
        <v>89</v>
      </c>
      <c r="D24" s="10">
        <v>5</v>
      </c>
      <c r="E24" s="10">
        <f>0+0+0+0+0+0+0+0+0+0+0+0+0+0+0+0+0+0</f>
        <v>0</v>
      </c>
      <c r="F24" s="10">
        <f>0+0+0+0+0+0+0+0+0+0+0+0+0+0+0+0+0+0</f>
        <v>0</v>
      </c>
      <c r="G24" s="10">
        <f>0+0+0+0+0+0+0+0+0+0+0+0+0+0+0+0+0+0</f>
        <v>0</v>
      </c>
      <c r="H24" s="10">
        <f>F23+G23</f>
        <v>0</v>
      </c>
      <c r="I24" s="28" t="e">
        <f t="shared" si="2"/>
        <v>#DIV/0!</v>
      </c>
      <c r="J24" s="10">
        <f>0+0+0+0+0+0+0+0+0+0+0+0+0+0+0+0+0+0</f>
        <v>0</v>
      </c>
      <c r="K24" s="10"/>
      <c r="L24" s="10"/>
      <c r="M24" s="28"/>
      <c r="N24" s="10">
        <f>0+0+0+0+0+0+1+0+0+0+0+0+0+0+0+0+0+0</f>
        <v>1</v>
      </c>
      <c r="O24" s="29">
        <f>0+0+0+0+0+0+1+0+0+0+0+0+0+0+0+0+0+0</f>
        <v>1</v>
      </c>
      <c r="P24" s="10">
        <f>0+0+0+0+0+0+0+0+0+0+0+0+0+0+0+0+0+0</f>
        <v>0</v>
      </c>
      <c r="Q24" s="10">
        <f>0+0+0+0+0+0+1+0+0+0+0+0+0+0+0+0+0+0</f>
        <v>1</v>
      </c>
      <c r="R24" s="45">
        <f>(J24+H25+Q24)/(N24+P24)</f>
        <v>1</v>
      </c>
      <c r="S24" s="45">
        <f>(H25+J24+Q24-N24-P24)/D24</f>
        <v>0</v>
      </c>
      <c r="T24" s="59">
        <v>7</v>
      </c>
    </row>
    <row r="25" spans="1:21" x14ac:dyDescent="0.2">
      <c r="A25" s="10">
        <v>24</v>
      </c>
      <c r="B25" s="10" t="s">
        <v>37</v>
      </c>
      <c r="C25" t="s">
        <v>90</v>
      </c>
      <c r="D25" s="10">
        <v>6</v>
      </c>
      <c r="E25" s="10">
        <f t="shared" ref="E25:G29" si="4">0+0+0+0+0+0+0+0+0+0+0+0+0+0+0+0+0+0</f>
        <v>0</v>
      </c>
      <c r="F25" s="10">
        <f t="shared" si="4"/>
        <v>0</v>
      </c>
      <c r="G25" s="10">
        <f t="shared" si="4"/>
        <v>0</v>
      </c>
      <c r="H25" s="10">
        <f t="shared" ref="H25:H29" si="5">F24+G24</f>
        <v>0</v>
      </c>
      <c r="I25" s="28" t="e">
        <f t="shared" si="2"/>
        <v>#DIV/0!</v>
      </c>
      <c r="J25" s="10">
        <f>0+0+1+1+0+0+1+0+0+0+0+0+0+1+0+0+0+0</f>
        <v>4</v>
      </c>
      <c r="K25" s="10"/>
      <c r="L25" s="10"/>
      <c r="M25" s="11"/>
      <c r="N25" s="10">
        <f>0+0+0+0+0+0+0+0+0+0+0+0+0+0+0+0+0+0</f>
        <v>0</v>
      </c>
      <c r="O25" s="29">
        <f>0+0+0+0+0+0+0+0+0+0+0+0+0+0+0+0+0+0</f>
        <v>0</v>
      </c>
      <c r="P25" s="10">
        <f>0+0+2+0+0+1+0+0+0+0+0+0+0+0+0+0+0+0</f>
        <v>3</v>
      </c>
      <c r="Q25" s="10">
        <f>0+0+0+1+0+0+0+0+0+0+0+0+0+1+0+0+0+0</f>
        <v>2</v>
      </c>
      <c r="R25" s="49">
        <f>(J25+H26+Q25)/(N25+P25)</f>
        <v>2</v>
      </c>
      <c r="S25" s="49">
        <f>(H26+J25+Q25-N25-P25)/D25</f>
        <v>0.5</v>
      </c>
      <c r="T25" s="59">
        <v>4</v>
      </c>
    </row>
    <row r="26" spans="1:21" x14ac:dyDescent="0.2">
      <c r="A26" s="10">
        <v>28</v>
      </c>
      <c r="B26" s="10" t="s">
        <v>36</v>
      </c>
      <c r="C26" t="s">
        <v>98</v>
      </c>
      <c r="D26" s="10">
        <v>1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5"/>
        <v>0</v>
      </c>
      <c r="I26" s="28" t="e">
        <f t="shared" si="2"/>
        <v>#DIV/0!</v>
      </c>
      <c r="J26" s="10">
        <f>0</f>
        <v>0</v>
      </c>
      <c r="K26" s="10"/>
      <c r="L26" s="10"/>
      <c r="M26" s="28"/>
      <c r="N26" s="10">
        <f t="shared" ref="N26:O28" si="6">0+0+0+0+0+0+0+0+0+0+0+0+0+0+0+0+0+0</f>
        <v>0</v>
      </c>
      <c r="O26" s="29">
        <f t="shared" si="6"/>
        <v>0</v>
      </c>
      <c r="P26" s="10">
        <f>1</f>
        <v>1</v>
      </c>
      <c r="Q26" s="10">
        <f>0</f>
        <v>0</v>
      </c>
      <c r="R26" s="56">
        <f t="shared" si="3"/>
        <v>0</v>
      </c>
      <c r="S26" s="56">
        <f t="shared" ref="S26:S29" si="7">(H26+J26+Q26-N26-P26)/D26</f>
        <v>-1</v>
      </c>
      <c r="T26" s="59"/>
    </row>
    <row r="27" spans="1:21" x14ac:dyDescent="0.2">
      <c r="A27" s="10">
        <v>33</v>
      </c>
      <c r="B27" s="10" t="s">
        <v>36</v>
      </c>
      <c r="C27" t="s">
        <v>99</v>
      </c>
      <c r="D27" s="10">
        <v>1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5"/>
        <v>0</v>
      </c>
      <c r="I27" s="28" t="e">
        <f t="shared" si="2"/>
        <v>#DIV/0!</v>
      </c>
      <c r="J27" s="10">
        <f>0</f>
        <v>0</v>
      </c>
      <c r="K27" s="10"/>
      <c r="L27" s="10"/>
      <c r="M27" s="10"/>
      <c r="N27" s="10">
        <f t="shared" si="6"/>
        <v>0</v>
      </c>
      <c r="O27" s="29">
        <f t="shared" si="6"/>
        <v>0</v>
      </c>
      <c r="P27" s="10">
        <f>0</f>
        <v>0</v>
      </c>
      <c r="Q27" s="10">
        <f>0</f>
        <v>0</v>
      </c>
      <c r="R27" s="45" t="e">
        <f t="shared" si="3"/>
        <v>#DIV/0!</v>
      </c>
      <c r="S27" s="45">
        <f t="shared" si="7"/>
        <v>0</v>
      </c>
    </row>
    <row r="28" spans="1:21" x14ac:dyDescent="0.2">
      <c r="A28" s="10">
        <v>29</v>
      </c>
      <c r="B28" s="10" t="s">
        <v>36</v>
      </c>
      <c r="C28" t="s">
        <v>100</v>
      </c>
      <c r="D28" s="10">
        <v>1</v>
      </c>
      <c r="E28" s="10">
        <f t="shared" si="4"/>
        <v>0</v>
      </c>
      <c r="F28" s="10">
        <f t="shared" si="4"/>
        <v>0</v>
      </c>
      <c r="G28" s="10">
        <f t="shared" si="4"/>
        <v>0</v>
      </c>
      <c r="H28" s="10">
        <f t="shared" si="5"/>
        <v>0</v>
      </c>
      <c r="I28" s="28" t="e">
        <f t="shared" si="2"/>
        <v>#DIV/0!</v>
      </c>
      <c r="J28" s="10">
        <f>0</f>
        <v>0</v>
      </c>
      <c r="K28" s="10"/>
      <c r="L28" s="10"/>
      <c r="M28" s="28"/>
      <c r="N28" s="10">
        <f t="shared" si="6"/>
        <v>0</v>
      </c>
      <c r="O28" s="29">
        <f t="shared" si="6"/>
        <v>0</v>
      </c>
      <c r="P28" s="10">
        <f>0</f>
        <v>0</v>
      </c>
      <c r="Q28" s="10">
        <f>0</f>
        <v>0</v>
      </c>
      <c r="R28" s="45" t="e">
        <f t="shared" si="3"/>
        <v>#DIV/0!</v>
      </c>
      <c r="S28" s="45">
        <f t="shared" si="7"/>
        <v>0</v>
      </c>
    </row>
    <row r="29" spans="1:21" x14ac:dyDescent="0.2">
      <c r="A29" s="10">
        <v>26</v>
      </c>
      <c r="B29" s="10" t="s">
        <v>36</v>
      </c>
      <c r="C29" t="s">
        <v>101</v>
      </c>
      <c r="D29" s="10">
        <v>1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5"/>
        <v>0</v>
      </c>
      <c r="I29" s="28" t="e">
        <f t="shared" si="2"/>
        <v>#DIV/0!</v>
      </c>
      <c r="J29" s="10">
        <f>0</f>
        <v>0</v>
      </c>
      <c r="K29" s="10"/>
      <c r="L29" s="10"/>
      <c r="M29" s="10"/>
      <c r="N29" s="10">
        <f t="shared" ref="N29:O29" si="8">0+0+0+0+0+0+0+0+0+0+0+0</f>
        <v>0</v>
      </c>
      <c r="O29" s="29">
        <f t="shared" si="8"/>
        <v>0</v>
      </c>
      <c r="P29" s="10">
        <f>0</f>
        <v>0</v>
      </c>
      <c r="Q29" s="10">
        <f>0</f>
        <v>0</v>
      </c>
      <c r="R29" s="45" t="e">
        <f t="shared" si="3"/>
        <v>#DIV/0!</v>
      </c>
      <c r="S29" s="45">
        <f t="shared" si="7"/>
        <v>0</v>
      </c>
    </row>
    <row r="30" spans="1:21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9"/>
      <c r="R30" s="29"/>
    </row>
    <row r="31" spans="1:21" x14ac:dyDescent="0.2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9"/>
      <c r="R31" s="29"/>
    </row>
    <row r="32" spans="1:21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9"/>
      <c r="R32" s="29"/>
    </row>
    <row r="33" spans="1:20" x14ac:dyDescent="0.2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9"/>
      <c r="R33" s="29"/>
    </row>
    <row r="34" spans="1:20" x14ac:dyDescent="0.2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9"/>
      <c r="R34" s="29"/>
      <c r="S34" s="48"/>
    </row>
    <row r="35" spans="1:20" x14ac:dyDescent="0.2">
      <c r="A35" s="10">
        <v>31</v>
      </c>
      <c r="B35" s="10" t="s">
        <v>38</v>
      </c>
      <c r="C35" t="s">
        <v>91</v>
      </c>
      <c r="D35" s="10">
        <v>5</v>
      </c>
      <c r="E35" s="10">
        <f t="shared" ref="E35:G36" si="9">0+0+0+0+0+0+0+0+0+0+0+0+0+0+0+0+0+0</f>
        <v>0</v>
      </c>
      <c r="F35" s="10">
        <f t="shared" si="9"/>
        <v>0</v>
      </c>
      <c r="G35" s="10">
        <f t="shared" si="9"/>
        <v>0</v>
      </c>
      <c r="H35" s="10">
        <f>F35+G35</f>
        <v>0</v>
      </c>
      <c r="I35" s="28" t="e">
        <f t="shared" ref="I35:I36" si="10">F35/E35</f>
        <v>#DIV/0!</v>
      </c>
      <c r="J35" s="10">
        <f>0+0+1+1+0+0+0+0+0+0+0+0+0+0+1+0+0+0</f>
        <v>3</v>
      </c>
      <c r="K35" s="10"/>
      <c r="L35" s="10"/>
      <c r="M35" s="10"/>
      <c r="N35" s="10">
        <f>0+0+0+0+0+0+0+0+0+0+0+0+0+0+0+0+0+0</f>
        <v>0</v>
      </c>
      <c r="O35" s="38">
        <f>0+0+0+0+0+0+0+0+0+0+0+0+0+0+0+0+0+0</f>
        <v>0</v>
      </c>
      <c r="P35" s="10">
        <f>0+0+0+1+0+0+0+0+0+0+0+0+0+0+0+0+1+0</f>
        <v>2</v>
      </c>
      <c r="Q35" s="10">
        <f>0+0+0+0+1+0+0+0+0+0+0+0+0+0+0+0+0+0</f>
        <v>1</v>
      </c>
      <c r="R35" s="49">
        <f>(J35+H35)+(F48/3)/(N35+P35)</f>
        <v>5.3333333333333339</v>
      </c>
      <c r="S35" s="49">
        <f>((H35+J35-N35-P35)+(F48/3))/D35</f>
        <v>1.1333333333333333</v>
      </c>
      <c r="T35" s="10">
        <v>2</v>
      </c>
    </row>
    <row r="36" spans="1:20" x14ac:dyDescent="0.2">
      <c r="A36" s="10">
        <v>32</v>
      </c>
      <c r="B36" s="10" t="s">
        <v>38</v>
      </c>
      <c r="C36" t="s">
        <v>80</v>
      </c>
      <c r="D36" s="10">
        <v>17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>F36+G36</f>
        <v>0</v>
      </c>
      <c r="I36" s="28" t="e">
        <f t="shared" si="10"/>
        <v>#DIV/0!</v>
      </c>
      <c r="J36" s="10">
        <f>1+3+3+0+0+0+1+0+2+2+2+0+0+3+0+4+0+1</f>
        <v>22</v>
      </c>
      <c r="K36" s="10"/>
      <c r="L36" s="10"/>
      <c r="M36" s="10"/>
      <c r="N36" s="10">
        <f>0+0+0+0+0+0+0+0+0+0+0+0+0+0+0+0+0+0</f>
        <v>0</v>
      </c>
      <c r="O36" s="38">
        <f>0+0+0+0+0+0+0+0+0+0+0+0+0+0+0+0+0+0</f>
        <v>0</v>
      </c>
      <c r="P36" s="10">
        <f>4+4+4+0+0+1+0+3+5+0+1+1+0+3+4+4+2+3</f>
        <v>39</v>
      </c>
      <c r="Q36" s="10">
        <f>0+0+0+0+0+0+0+0+0+0+0+0+0+2+0+0+0+0</f>
        <v>2</v>
      </c>
      <c r="R36" s="49">
        <f>(J36+H36)+(F47/3)/(N36+P36)</f>
        <v>23.495726495726494</v>
      </c>
      <c r="S36" s="49">
        <f>((H36+J36-N36-P36)+(F47/3))/D36</f>
        <v>2.4313725490196081</v>
      </c>
      <c r="T36" s="10">
        <v>1</v>
      </c>
    </row>
    <row r="37" spans="1:20" x14ac:dyDescent="0.2">
      <c r="D37" s="10"/>
      <c r="E37" s="10"/>
      <c r="F37" s="10"/>
      <c r="G37" s="10"/>
      <c r="H37" s="10"/>
      <c r="I37" s="10"/>
      <c r="J37" s="10"/>
      <c r="K37" s="10"/>
      <c r="L37" s="10"/>
      <c r="O37" s="29"/>
    </row>
    <row r="38" spans="1:20" x14ac:dyDescent="0.2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9"/>
    </row>
    <row r="39" spans="1:20" x14ac:dyDescent="0.2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8"/>
      <c r="P39" s="38"/>
      <c r="Q39" s="38"/>
      <c r="S39" s="29"/>
    </row>
    <row r="40" spans="1:20" x14ac:dyDescent="0.2">
      <c r="D40" s="10"/>
      <c r="E40" s="10"/>
      <c r="F40" s="10"/>
      <c r="G40" s="10"/>
      <c r="H40" s="10"/>
      <c r="I40" s="10"/>
      <c r="J40" s="10"/>
      <c r="K40" s="10"/>
      <c r="L40" s="10"/>
      <c r="N40" s="10"/>
      <c r="O40" s="18"/>
    </row>
    <row r="41" spans="1:20" x14ac:dyDescent="0.2">
      <c r="A41" s="10" t="s">
        <v>52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8"/>
      <c r="P41" s="10">
        <v>2</v>
      </c>
    </row>
    <row r="42" spans="1:20" x14ac:dyDescent="0.2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8"/>
    </row>
    <row r="43" spans="1:20" x14ac:dyDescent="0.2">
      <c r="D43" s="10"/>
      <c r="E43" s="10"/>
      <c r="F43" s="10"/>
      <c r="G43" s="10"/>
      <c r="H43" s="10"/>
      <c r="I43" s="10"/>
      <c r="J43" s="10"/>
      <c r="K43" s="15"/>
      <c r="L43" s="15"/>
      <c r="M43" s="15"/>
      <c r="N43" s="10"/>
      <c r="O43" s="18"/>
      <c r="P43" s="15"/>
      <c r="Q43" s="15"/>
    </row>
    <row r="44" spans="1:20" x14ac:dyDescent="0.2">
      <c r="C44" s="12" t="s">
        <v>30</v>
      </c>
      <c r="D44" s="10"/>
      <c r="E44" s="13">
        <f>SUM(E3:E43)</f>
        <v>566</v>
      </c>
      <c r="F44" s="13">
        <f>SUM(F3:F43)</f>
        <v>154</v>
      </c>
      <c r="G44" s="13">
        <f>SUM(G3:G43)</f>
        <v>85</v>
      </c>
      <c r="H44" s="10"/>
      <c r="I44" s="51">
        <f t="shared" ref="I44" si="11">F44/E44</f>
        <v>0.27208480565371024</v>
      </c>
      <c r="J44" s="13">
        <f>SUM(J3:J43)</f>
        <v>658</v>
      </c>
      <c r="K44" s="10">
        <f>SUM(K3:K43)</f>
        <v>393</v>
      </c>
      <c r="L44" s="10">
        <f>SUM(L3:L43)</f>
        <v>187</v>
      </c>
      <c r="M44" s="11">
        <f>L44/K44</f>
        <v>0.4758269720101781</v>
      </c>
      <c r="N44" s="13">
        <f>SUM(N3:N43)</f>
        <v>106</v>
      </c>
      <c r="O44" s="19">
        <f>SUM(O3:O43)</f>
        <v>101</v>
      </c>
      <c r="P44" s="10">
        <f>SUM(P3:P43)</f>
        <v>341</v>
      </c>
      <c r="Q44" s="10">
        <f>SUM(Q3:Q43)</f>
        <v>206</v>
      </c>
    </row>
    <row r="46" spans="1:20" ht="39" x14ac:dyDescent="0.2">
      <c r="C46" s="2"/>
      <c r="D46" s="3" t="s">
        <v>10</v>
      </c>
      <c r="E46" s="3" t="s">
        <v>59</v>
      </c>
      <c r="F46" s="3" t="s">
        <v>11</v>
      </c>
      <c r="G46" s="32" t="s">
        <v>56</v>
      </c>
      <c r="H46" s="3" t="s">
        <v>60</v>
      </c>
      <c r="I46" s="3"/>
    </row>
    <row r="47" spans="1:20" x14ac:dyDescent="0.2">
      <c r="C47" t="s">
        <v>80</v>
      </c>
      <c r="D47" s="5">
        <v>17</v>
      </c>
      <c r="E47" s="5">
        <f>25+20+4+3+0+23+5+26+32+27+20+24+2+17+40+22+29+28</f>
        <v>347</v>
      </c>
      <c r="F47" s="5">
        <f>11+12+3+3+0+15+2+13+19+14+8+13+0+6+19+7+14+16</f>
        <v>175</v>
      </c>
      <c r="G47" s="37">
        <f>F47/D36</f>
        <v>10.294117647058824</v>
      </c>
      <c r="H47" s="28">
        <f>F47/E47</f>
        <v>0.50432276657060515</v>
      </c>
      <c r="I47" s="5"/>
      <c r="M47" s="21" t="s">
        <v>42</v>
      </c>
      <c r="N47" s="21" t="s">
        <v>43</v>
      </c>
    </row>
    <row r="48" spans="1:20" x14ac:dyDescent="0.2">
      <c r="C48" s="16" t="s">
        <v>91</v>
      </c>
      <c r="D48" s="5">
        <v>1</v>
      </c>
      <c r="E48" s="5">
        <f>0+0+1+2+24+0+3+0+0+0+0+0+0+1+5</f>
        <v>36</v>
      </c>
      <c r="F48" s="5">
        <f>0+0+1+1+9+0+0+0+0+0+0+0+0+1+2</f>
        <v>14</v>
      </c>
      <c r="G48" s="37">
        <f>F48/D36</f>
        <v>0.82352941176470584</v>
      </c>
      <c r="H48" s="28">
        <f>F48/E48</f>
        <v>0.3888888888888889</v>
      </c>
      <c r="I48" s="5"/>
      <c r="K48" s="12" t="s">
        <v>31</v>
      </c>
      <c r="M48" s="10">
        <f>12+5+5+3+3+3+0+8+2+1+2+11+1+7+2+3+6+11</f>
        <v>85</v>
      </c>
      <c r="N48" s="10">
        <f>12.5+5.5+4+3+2.5+2.5+0+5.5+2+1+2+9+1+6+3+3+5+10</f>
        <v>77.5</v>
      </c>
      <c r="O48" s="14"/>
    </row>
    <row r="50" spans="3:13" x14ac:dyDescent="0.2">
      <c r="C50" s="16"/>
      <c r="D50" s="5"/>
      <c r="E50" s="5"/>
      <c r="F50" s="5"/>
      <c r="G50" s="37"/>
      <c r="H50" s="11"/>
      <c r="I50" s="5"/>
    </row>
    <row r="51" spans="3:13" x14ac:dyDescent="0.2">
      <c r="C51" s="6" t="s">
        <v>19</v>
      </c>
      <c r="D51" s="3" t="s">
        <v>29</v>
      </c>
      <c r="E51" s="3" t="s">
        <v>20</v>
      </c>
      <c r="F51" s="3" t="s">
        <v>21</v>
      </c>
      <c r="G51" s="17" t="s">
        <v>39</v>
      </c>
      <c r="I51" s="3"/>
      <c r="M51" s="20" t="s">
        <v>9</v>
      </c>
    </row>
    <row r="52" spans="3:13" x14ac:dyDescent="0.2">
      <c r="C52" s="4"/>
      <c r="D52" s="5">
        <v>18</v>
      </c>
      <c r="E52" s="5">
        <f>9+17+9+15+10+10+11+8+17+13+15+13+6+16+10+12+9+10</f>
        <v>210</v>
      </c>
      <c r="F52" s="5">
        <f>9+4+6+2+3+4+1+5+10+3+5+1+4+1+8+7+8+8</f>
        <v>89</v>
      </c>
      <c r="G52" s="47">
        <f>E52/(F52+E52)</f>
        <v>0.7023411371237458</v>
      </c>
      <c r="I52" s="5"/>
      <c r="K52" s="12" t="s">
        <v>40</v>
      </c>
      <c r="M52" s="29">
        <f>23.1</f>
        <v>23.1</v>
      </c>
    </row>
    <row r="53" spans="3:13" x14ac:dyDescent="0.2">
      <c r="C53" s="4"/>
      <c r="D53" s="5"/>
      <c r="E53" s="5"/>
      <c r="F53" s="5"/>
      <c r="G53" s="2"/>
      <c r="I53" s="5"/>
    </row>
    <row r="54" spans="3:13" x14ac:dyDescent="0.2">
      <c r="C54" s="6" t="s">
        <v>27</v>
      </c>
      <c r="D54" s="3" t="s">
        <v>29</v>
      </c>
      <c r="E54" s="3" t="s">
        <v>20</v>
      </c>
      <c r="F54" s="3" t="s">
        <v>21</v>
      </c>
      <c r="G54" s="17" t="s">
        <v>39</v>
      </c>
      <c r="I54" s="3"/>
      <c r="K54" s="12" t="s">
        <v>41</v>
      </c>
      <c r="M54" s="29">
        <f>18.56</f>
        <v>18.559999999999999</v>
      </c>
    </row>
    <row r="55" spans="3:13" x14ac:dyDescent="0.2">
      <c r="C55" s="4"/>
      <c r="D55" s="5">
        <v>18</v>
      </c>
      <c r="E55" s="5">
        <f>8+16+4+4+19+9+10+7+18+12+13+14+5+14+5+12+11+12</f>
        <v>193</v>
      </c>
      <c r="F55" s="5">
        <f>4+7+16+17+12+7+10+4+9+4+7+6+19+11+3+1+4+8</f>
        <v>149</v>
      </c>
      <c r="G55" s="47">
        <f>E55/(F55+E55)</f>
        <v>0.56432748538011701</v>
      </c>
      <c r="I55" s="5"/>
    </row>
    <row r="56" spans="3:13" x14ac:dyDescent="0.2">
      <c r="C56" s="4"/>
      <c r="D56" s="5"/>
      <c r="E56" s="5"/>
      <c r="F56" s="5"/>
      <c r="G56" s="2"/>
      <c r="I56" s="5"/>
    </row>
    <row r="57" spans="3:13" x14ac:dyDescent="0.2">
      <c r="C57" s="6" t="s">
        <v>22</v>
      </c>
      <c r="D57" s="3" t="s">
        <v>29</v>
      </c>
      <c r="E57" s="3" t="s">
        <v>23</v>
      </c>
      <c r="F57" s="3" t="s">
        <v>24</v>
      </c>
      <c r="G57" s="17" t="s">
        <v>39</v>
      </c>
      <c r="I57" s="3"/>
      <c r="K57" s="12" t="s">
        <v>53</v>
      </c>
      <c r="M57" s="10">
        <f>10+30+26+23+26+15+27+14+30+11+19+24+28+25+14+14+15+20</f>
        <v>371</v>
      </c>
    </row>
    <row r="58" spans="3:13" x14ac:dyDescent="0.2">
      <c r="C58" s="4"/>
      <c r="D58" s="5">
        <v>18</v>
      </c>
      <c r="E58" s="5">
        <f>2+1+2+2+2+2+0+2+2+0+2+2+0+1+1+0+0+1</f>
        <v>22</v>
      </c>
      <c r="F58" s="5">
        <f>10+4+3+1+1+1+0+2+0+1+0+9+1+6+1+3+6+10</f>
        <v>59</v>
      </c>
      <c r="G58" s="47">
        <f>E58/(F58+E58)</f>
        <v>0.27160493827160492</v>
      </c>
      <c r="I58" s="5"/>
    </row>
    <row r="59" spans="3:13" x14ac:dyDescent="0.2">
      <c r="C59" s="4"/>
      <c r="D59" s="5"/>
      <c r="E59" s="5"/>
      <c r="F59" s="5"/>
      <c r="G59" s="2"/>
      <c r="I59" s="5"/>
      <c r="K59" s="26" t="s">
        <v>54</v>
      </c>
      <c r="L59" s="10">
        <f>11+19+34+31+17+20+25+14+13+8+22+18+37+22+13+7+5+10</f>
        <v>326</v>
      </c>
    </row>
    <row r="60" spans="3:13" x14ac:dyDescent="0.2">
      <c r="C60" s="6" t="s">
        <v>25</v>
      </c>
      <c r="D60" s="3" t="s">
        <v>29</v>
      </c>
      <c r="E60" s="3" t="s">
        <v>23</v>
      </c>
      <c r="F60" s="3" t="s">
        <v>24</v>
      </c>
      <c r="G60" s="17" t="s">
        <v>39</v>
      </c>
      <c r="I60" s="3"/>
    </row>
    <row r="61" spans="3:13" x14ac:dyDescent="0.2">
      <c r="C61" s="4"/>
      <c r="D61" s="5">
        <v>18</v>
      </c>
      <c r="E61" s="5">
        <f>1+2+0+0+6+1+1+5+1+2+2+4+0+3+4+1+2+3</f>
        <v>38</v>
      </c>
      <c r="F61" s="5">
        <f>0+3+2+2+4+3+4+4+3+2+4+6+2+5+7+0+0+7</f>
        <v>58</v>
      </c>
      <c r="G61" s="47">
        <f>E61/(F61+E61)</f>
        <v>0.39583333333333331</v>
      </c>
      <c r="I61" s="5"/>
      <c r="K61" s="26" t="s">
        <v>55</v>
      </c>
      <c r="L61" s="10">
        <f>25+20+5+5+24+23+8+26+32+27+20+24+2+17+40+22+34+28</f>
        <v>382</v>
      </c>
    </row>
    <row r="62" spans="3:13" x14ac:dyDescent="0.2">
      <c r="C62" s="4"/>
      <c r="D62" s="5"/>
      <c r="E62" s="5"/>
      <c r="F62" s="5"/>
      <c r="G62" s="2"/>
      <c r="I62" s="5"/>
    </row>
    <row r="63" spans="3:13" x14ac:dyDescent="0.2">
      <c r="C63" s="2"/>
      <c r="D63" s="2"/>
      <c r="E63" s="2"/>
      <c r="F63" s="2"/>
      <c r="G63" s="2"/>
      <c r="I63" s="2"/>
    </row>
    <row r="64" spans="3:13" x14ac:dyDescent="0.2">
      <c r="C64" s="6" t="s">
        <v>12</v>
      </c>
      <c r="D64" s="3" t="s">
        <v>13</v>
      </c>
      <c r="E64" s="3"/>
      <c r="F64" s="3" t="s">
        <v>14</v>
      </c>
      <c r="G64" s="2"/>
      <c r="I64" s="50"/>
    </row>
    <row r="65" spans="1:9" x14ac:dyDescent="0.2">
      <c r="C65" s="6" t="s">
        <v>15</v>
      </c>
      <c r="D65" s="7">
        <f>5+5+17+18+7+11+19+7+4+0+11+10+18+9+8+1+2+2</f>
        <v>154</v>
      </c>
      <c r="E65" s="7"/>
      <c r="F65" s="7">
        <f>14+8+1+1+15+8+6+13+13+13+12+11+2+11+20+15+18+12</f>
        <v>193</v>
      </c>
      <c r="G65" s="2"/>
      <c r="I65" s="50"/>
    </row>
    <row r="66" spans="1:9" x14ac:dyDescent="0.2">
      <c r="C66" s="6" t="s">
        <v>16</v>
      </c>
      <c r="D66" s="8">
        <f>D65/D61</f>
        <v>8.5555555555555554</v>
      </c>
      <c r="E66" s="8"/>
      <c r="F66" s="8">
        <f>F65/D61</f>
        <v>10.722222222222221</v>
      </c>
      <c r="G66" s="2"/>
      <c r="I66" s="8"/>
    </row>
    <row r="67" spans="1:9" x14ac:dyDescent="0.2">
      <c r="C67" s="6" t="s">
        <v>17</v>
      </c>
      <c r="D67" s="9" t="s">
        <v>109</v>
      </c>
      <c r="E67" s="9"/>
      <c r="F67" s="9" t="s">
        <v>111</v>
      </c>
      <c r="G67" s="9" t="s">
        <v>18</v>
      </c>
      <c r="I67" s="9"/>
    </row>
    <row r="72" spans="1:9" x14ac:dyDescent="0.2">
      <c r="C72" s="20" t="s">
        <v>44</v>
      </c>
      <c r="D72" s="21" t="s">
        <v>46</v>
      </c>
      <c r="E72" s="21" t="s">
        <v>47</v>
      </c>
      <c r="F72" s="21" t="s">
        <v>48</v>
      </c>
      <c r="G72" s="21" t="s">
        <v>49</v>
      </c>
      <c r="H72" s="21" t="s">
        <v>50</v>
      </c>
      <c r="I72" s="21"/>
    </row>
    <row r="74" spans="1:9" x14ac:dyDescent="0.2">
      <c r="A74" s="22">
        <v>44620</v>
      </c>
      <c r="C74" s="31" t="s">
        <v>45</v>
      </c>
      <c r="D74" s="10">
        <v>1</v>
      </c>
      <c r="E74" s="10">
        <v>3</v>
      </c>
      <c r="F74" s="10">
        <v>0</v>
      </c>
      <c r="G74" s="10">
        <v>1</v>
      </c>
      <c r="H74" s="10">
        <f>SUM(D74:G74)</f>
        <v>5</v>
      </c>
      <c r="I74" s="10"/>
    </row>
    <row r="75" spans="1:9" x14ac:dyDescent="0.2">
      <c r="A75" s="10" t="s">
        <v>63</v>
      </c>
      <c r="C75" s="20" t="s">
        <v>81</v>
      </c>
      <c r="D75" s="10">
        <v>4</v>
      </c>
      <c r="E75" s="10">
        <v>6</v>
      </c>
      <c r="F75" s="10">
        <v>4</v>
      </c>
      <c r="G75" s="10">
        <v>0</v>
      </c>
      <c r="H75" s="10">
        <f>SUM(D75:G75)</f>
        <v>14</v>
      </c>
      <c r="I75" s="10"/>
    </row>
    <row r="76" spans="1:9" x14ac:dyDescent="0.2">
      <c r="B76" s="23" t="s">
        <v>51</v>
      </c>
      <c r="C76" s="12" t="s">
        <v>45</v>
      </c>
      <c r="D76" s="42">
        <v>5.14</v>
      </c>
      <c r="E76" s="42">
        <v>6.49</v>
      </c>
      <c r="F76" s="42">
        <v>5.08</v>
      </c>
      <c r="G76" s="42">
        <v>5.59</v>
      </c>
      <c r="H76" s="33">
        <v>23.1</v>
      </c>
      <c r="I76" s="42"/>
    </row>
    <row r="77" spans="1:9" x14ac:dyDescent="0.2">
      <c r="B77" s="25"/>
      <c r="C77" s="20" t="s">
        <v>81</v>
      </c>
      <c r="D77" s="43">
        <v>5.0999999999999996</v>
      </c>
      <c r="E77" s="43">
        <v>4.0599999999999996</v>
      </c>
      <c r="F77" s="43">
        <v>5.44</v>
      </c>
      <c r="G77" s="43">
        <v>3.56</v>
      </c>
      <c r="H77" s="34">
        <v>18.559999999999999</v>
      </c>
      <c r="I77" s="43"/>
    </row>
    <row r="79" spans="1:9" x14ac:dyDescent="0.2">
      <c r="A79" s="22">
        <v>44621</v>
      </c>
      <c r="C79" s="12" t="s">
        <v>45</v>
      </c>
      <c r="D79" s="10">
        <v>0</v>
      </c>
      <c r="E79" s="10">
        <v>0</v>
      </c>
      <c r="F79" s="10">
        <v>2</v>
      </c>
      <c r="G79" s="10">
        <v>3</v>
      </c>
      <c r="H79" s="10">
        <f>SUM(D79:G79)</f>
        <v>5</v>
      </c>
      <c r="I79" s="10"/>
    </row>
    <row r="80" spans="1:9" x14ac:dyDescent="0.2">
      <c r="A80" s="10" t="s">
        <v>63</v>
      </c>
      <c r="C80" s="12" t="s">
        <v>92</v>
      </c>
      <c r="D80" s="10">
        <v>1</v>
      </c>
      <c r="E80" s="10">
        <v>4</v>
      </c>
      <c r="F80" s="10">
        <v>2</v>
      </c>
      <c r="G80" s="10">
        <v>1</v>
      </c>
      <c r="H80" s="10">
        <f>SUM(D80:G80)</f>
        <v>8</v>
      </c>
      <c r="I80" s="10"/>
    </row>
    <row r="81" spans="1:11" x14ac:dyDescent="0.2">
      <c r="B81" s="23" t="s">
        <v>51</v>
      </c>
      <c r="C81" s="24" t="s">
        <v>45</v>
      </c>
      <c r="D81" s="19">
        <v>6.24</v>
      </c>
      <c r="E81" s="19">
        <v>4.32</v>
      </c>
      <c r="F81" s="19">
        <v>6.1</v>
      </c>
      <c r="G81" s="19">
        <v>5.58</v>
      </c>
      <c r="H81" s="33"/>
      <c r="I81" s="19"/>
    </row>
    <row r="82" spans="1:11" x14ac:dyDescent="0.2">
      <c r="B82" s="25"/>
      <c r="C82" s="20" t="s">
        <v>92</v>
      </c>
      <c r="D82" s="39">
        <v>5.36</v>
      </c>
      <c r="E82" s="39">
        <v>7.28</v>
      </c>
      <c r="F82" s="39">
        <v>5.5</v>
      </c>
      <c r="G82" s="39">
        <v>6.02</v>
      </c>
      <c r="H82" s="40"/>
      <c r="I82" s="39"/>
    </row>
    <row r="83" spans="1:11" x14ac:dyDescent="0.2">
      <c r="J83" s="10"/>
      <c r="K83" s="10"/>
    </row>
    <row r="84" spans="1:11" x14ac:dyDescent="0.2">
      <c r="A84" s="22">
        <v>44627</v>
      </c>
      <c r="C84" s="12" t="s">
        <v>45</v>
      </c>
      <c r="D84" s="10">
        <v>7</v>
      </c>
      <c r="E84" s="10">
        <v>5</v>
      </c>
      <c r="F84" s="10">
        <v>3</v>
      </c>
      <c r="G84" s="10">
        <v>2</v>
      </c>
      <c r="H84" s="10">
        <f>SUM(D84:G84)+J84+K84</f>
        <v>17</v>
      </c>
      <c r="I84" s="10"/>
      <c r="J84" s="10"/>
      <c r="K84" s="10"/>
    </row>
    <row r="85" spans="1:11" x14ac:dyDescent="0.2">
      <c r="A85" s="10" t="s">
        <v>63</v>
      </c>
      <c r="C85" s="12" t="s">
        <v>93</v>
      </c>
      <c r="D85" s="10">
        <v>1</v>
      </c>
      <c r="E85" s="10">
        <v>0</v>
      </c>
      <c r="F85" s="10">
        <v>0</v>
      </c>
      <c r="G85" s="10">
        <v>0</v>
      </c>
      <c r="H85" s="10">
        <f>SUM(D85:G85)+J85+K85</f>
        <v>1</v>
      </c>
      <c r="I85" s="10"/>
      <c r="J85" s="10"/>
      <c r="K85" s="10"/>
    </row>
    <row r="86" spans="1:11" x14ac:dyDescent="0.2">
      <c r="B86" s="23" t="s">
        <v>51</v>
      </c>
      <c r="C86" s="24" t="s">
        <v>45</v>
      </c>
      <c r="D86" s="19"/>
      <c r="E86" s="19"/>
      <c r="F86" s="19"/>
      <c r="G86" s="19"/>
      <c r="H86" s="41"/>
      <c r="I86" s="19"/>
      <c r="J86" s="46"/>
      <c r="K86" s="46"/>
    </row>
    <row r="87" spans="1:11" x14ac:dyDescent="0.2">
      <c r="B87" s="25"/>
      <c r="C87" s="20" t="s">
        <v>93</v>
      </c>
      <c r="D87" s="39"/>
      <c r="E87" s="39"/>
      <c r="F87" s="39"/>
      <c r="G87" s="39"/>
      <c r="H87" s="40"/>
      <c r="I87" s="39"/>
      <c r="J87" s="46"/>
      <c r="K87" s="46"/>
    </row>
    <row r="89" spans="1:11" x14ac:dyDescent="0.2">
      <c r="A89" s="22">
        <v>44631</v>
      </c>
      <c r="C89" s="12" t="s">
        <v>45</v>
      </c>
      <c r="D89" s="10">
        <v>6</v>
      </c>
      <c r="E89" s="10">
        <v>5</v>
      </c>
      <c r="F89" s="10">
        <v>4</v>
      </c>
      <c r="G89" s="10">
        <v>3</v>
      </c>
      <c r="H89" s="10">
        <f>SUM(D89:G89)</f>
        <v>18</v>
      </c>
      <c r="I89" s="10"/>
    </row>
    <row r="90" spans="1:11" x14ac:dyDescent="0.2">
      <c r="A90" s="10" t="s">
        <v>62</v>
      </c>
      <c r="C90" s="12" t="s">
        <v>94</v>
      </c>
      <c r="D90" s="10">
        <v>0</v>
      </c>
      <c r="E90" s="10">
        <v>0</v>
      </c>
      <c r="F90" s="10">
        <v>0</v>
      </c>
      <c r="G90" s="10">
        <v>1</v>
      </c>
      <c r="H90" s="10">
        <f>SUM(D90:G90)</f>
        <v>1</v>
      </c>
      <c r="I90" s="10"/>
    </row>
    <row r="91" spans="1:11" x14ac:dyDescent="0.2">
      <c r="B91" s="23" t="s">
        <v>51</v>
      </c>
      <c r="C91" s="24" t="s">
        <v>45</v>
      </c>
      <c r="D91" s="19"/>
      <c r="E91" s="19"/>
      <c r="F91" s="19"/>
      <c r="G91" s="42"/>
      <c r="H91" s="41"/>
      <c r="I91" s="19"/>
    </row>
    <row r="92" spans="1:11" x14ac:dyDescent="0.2">
      <c r="B92" s="25"/>
      <c r="C92" s="20" t="s">
        <v>94</v>
      </c>
      <c r="D92" s="39"/>
      <c r="E92" s="39"/>
      <c r="F92" s="43"/>
      <c r="G92" s="43"/>
      <c r="H92" s="40"/>
      <c r="I92" s="43"/>
    </row>
    <row r="94" spans="1:11" x14ac:dyDescent="0.2">
      <c r="A94" s="22">
        <v>44635</v>
      </c>
      <c r="C94" s="12" t="s">
        <v>45</v>
      </c>
      <c r="D94" s="10">
        <v>2</v>
      </c>
      <c r="E94" s="10">
        <v>1</v>
      </c>
      <c r="F94" s="10">
        <v>0</v>
      </c>
      <c r="G94" s="10">
        <v>4</v>
      </c>
      <c r="H94" s="10">
        <f>SUM(D94:G94)</f>
        <v>7</v>
      </c>
      <c r="I94" s="10"/>
    </row>
    <row r="95" spans="1:11" x14ac:dyDescent="0.2">
      <c r="A95" s="10" t="s">
        <v>63</v>
      </c>
      <c r="C95" s="12" t="s">
        <v>96</v>
      </c>
      <c r="D95" s="10">
        <v>4</v>
      </c>
      <c r="E95" s="10">
        <v>3</v>
      </c>
      <c r="F95" s="10">
        <v>4</v>
      </c>
      <c r="G95" s="10">
        <v>4</v>
      </c>
      <c r="H95" s="10">
        <f>SUM(D95:G95)</f>
        <v>15</v>
      </c>
      <c r="I95" s="10"/>
    </row>
    <row r="96" spans="1:11" x14ac:dyDescent="0.2">
      <c r="B96" s="23" t="s">
        <v>51</v>
      </c>
      <c r="C96" s="24" t="s">
        <v>45</v>
      </c>
      <c r="D96" s="19"/>
      <c r="E96" s="19"/>
      <c r="F96" s="19"/>
      <c r="G96" s="19"/>
      <c r="H96" s="41"/>
      <c r="I96" s="19"/>
    </row>
    <row r="97" spans="1:11" x14ac:dyDescent="0.2">
      <c r="B97" s="25"/>
      <c r="C97" s="20"/>
      <c r="D97" s="39"/>
      <c r="E97" s="39"/>
      <c r="F97" s="39"/>
      <c r="G97" s="39"/>
      <c r="H97" s="40"/>
      <c r="I97" s="39"/>
    </row>
    <row r="98" spans="1:11" x14ac:dyDescent="0.2">
      <c r="J98" s="10"/>
      <c r="K98" s="10"/>
    </row>
    <row r="99" spans="1:11" x14ac:dyDescent="0.2">
      <c r="A99" s="22">
        <v>44642</v>
      </c>
      <c r="C99" s="12" t="s">
        <v>45</v>
      </c>
      <c r="D99" s="10">
        <v>2</v>
      </c>
      <c r="E99" s="10">
        <v>3</v>
      </c>
      <c r="F99" s="10">
        <v>4</v>
      </c>
      <c r="G99" s="10">
        <v>2</v>
      </c>
      <c r="H99" s="10">
        <f>SUM(D99:G99)+J99+K99</f>
        <v>11</v>
      </c>
      <c r="I99" s="10"/>
      <c r="J99" s="10"/>
      <c r="K99" s="10"/>
    </row>
    <row r="100" spans="1:11" x14ac:dyDescent="0.2">
      <c r="A100" s="10" t="s">
        <v>62</v>
      </c>
      <c r="C100" s="12" t="s">
        <v>97</v>
      </c>
      <c r="D100" s="10">
        <v>2</v>
      </c>
      <c r="E100" s="10">
        <v>2</v>
      </c>
      <c r="F100" s="10">
        <v>1</v>
      </c>
      <c r="G100" s="10">
        <v>3</v>
      </c>
      <c r="H100" s="10">
        <f>SUM(D100:G100)+J100+K100</f>
        <v>8</v>
      </c>
      <c r="I100" s="10"/>
      <c r="J100" s="10"/>
      <c r="K100" s="10"/>
    </row>
    <row r="101" spans="1:11" x14ac:dyDescent="0.2">
      <c r="B101" s="23" t="s">
        <v>51</v>
      </c>
      <c r="C101" s="24" t="s">
        <v>45</v>
      </c>
      <c r="D101" s="53">
        <v>0.26319444444444445</v>
      </c>
      <c r="E101" s="53">
        <v>0.23333333333333331</v>
      </c>
      <c r="F101" s="53">
        <v>0.17708333333333334</v>
      </c>
      <c r="G101" s="53">
        <v>0.27708333333333335</v>
      </c>
      <c r="H101" s="54">
        <v>0.9506944444444444</v>
      </c>
      <c r="I101" s="19"/>
      <c r="J101" s="46"/>
      <c r="K101" s="46"/>
    </row>
    <row r="102" spans="1:11" x14ac:dyDescent="0.2">
      <c r="B102" s="25"/>
      <c r="C102" s="20" t="s">
        <v>97</v>
      </c>
      <c r="D102" s="52">
        <v>0.15277777777777776</v>
      </c>
      <c r="E102" s="52">
        <v>0.22013888888888888</v>
      </c>
      <c r="F102" s="52">
        <v>0.24652777777777779</v>
      </c>
      <c r="G102" s="52">
        <v>0.15972222222222224</v>
      </c>
      <c r="H102" s="55">
        <v>0.77916666666666667</v>
      </c>
      <c r="I102" s="39"/>
      <c r="J102" s="46"/>
      <c r="K102" s="46"/>
    </row>
    <row r="103" spans="1:11" x14ac:dyDescent="0.2">
      <c r="J103" s="10"/>
    </row>
    <row r="104" spans="1:11" x14ac:dyDescent="0.2">
      <c r="A104" s="22">
        <v>44645</v>
      </c>
      <c r="C104" s="12" t="s">
        <v>45</v>
      </c>
      <c r="D104" s="10">
        <v>5</v>
      </c>
      <c r="E104" s="10">
        <v>6</v>
      </c>
      <c r="F104" s="10">
        <v>4</v>
      </c>
      <c r="G104" s="10">
        <v>4</v>
      </c>
      <c r="H104" s="10">
        <f>SUM(D104:G104)</f>
        <v>19</v>
      </c>
      <c r="I104" s="10"/>
      <c r="J104" s="10"/>
    </row>
    <row r="105" spans="1:11" x14ac:dyDescent="0.2">
      <c r="A105" s="10" t="s">
        <v>63</v>
      </c>
      <c r="C105" s="20" t="s">
        <v>102</v>
      </c>
      <c r="D105" s="10">
        <v>1</v>
      </c>
      <c r="E105" s="10">
        <v>1</v>
      </c>
      <c r="F105" s="10">
        <v>1</v>
      </c>
      <c r="G105" s="10">
        <v>3</v>
      </c>
      <c r="H105" s="10">
        <f>SUM(D105:G105)+J105</f>
        <v>6</v>
      </c>
      <c r="I105" s="10"/>
      <c r="J105" s="10"/>
    </row>
    <row r="106" spans="1:11" x14ac:dyDescent="0.2">
      <c r="B106" s="23" t="s">
        <v>51</v>
      </c>
      <c r="C106" s="31" t="s">
        <v>45</v>
      </c>
      <c r="D106" s="42">
        <v>5.3</v>
      </c>
      <c r="E106" s="42">
        <v>6.37</v>
      </c>
      <c r="F106" s="42">
        <v>5.51</v>
      </c>
      <c r="G106" s="42">
        <v>3.08</v>
      </c>
      <c r="H106" s="33">
        <v>21.06</v>
      </c>
      <c r="I106" s="42"/>
      <c r="J106" s="10"/>
    </row>
    <row r="107" spans="1:11" x14ac:dyDescent="0.2">
      <c r="B107" s="25"/>
      <c r="C107" s="20" t="s">
        <v>102</v>
      </c>
      <c r="D107" s="43">
        <v>5.16</v>
      </c>
      <c r="E107" s="43">
        <v>3.38</v>
      </c>
      <c r="F107" s="43">
        <v>2.59</v>
      </c>
      <c r="G107" s="43">
        <v>2.21</v>
      </c>
      <c r="H107" s="34">
        <v>14.14</v>
      </c>
      <c r="I107" s="43"/>
      <c r="J107" s="35"/>
    </row>
    <row r="109" spans="1:11" x14ac:dyDescent="0.2">
      <c r="A109" s="22">
        <v>44648</v>
      </c>
      <c r="C109" s="12" t="s">
        <v>45</v>
      </c>
      <c r="D109" s="10">
        <v>3</v>
      </c>
      <c r="E109" s="10">
        <v>1</v>
      </c>
      <c r="F109" s="10">
        <v>2</v>
      </c>
      <c r="G109" s="10">
        <v>1</v>
      </c>
      <c r="H109" s="10">
        <f>SUM(D109:G109)</f>
        <v>7</v>
      </c>
      <c r="I109" s="10"/>
    </row>
    <row r="110" spans="1:11" x14ac:dyDescent="0.2">
      <c r="A110" s="10" t="s">
        <v>62</v>
      </c>
      <c r="C110" s="20" t="s">
        <v>104</v>
      </c>
      <c r="D110" s="10">
        <v>3</v>
      </c>
      <c r="E110" s="10">
        <v>6</v>
      </c>
      <c r="F110" s="10">
        <v>1</v>
      </c>
      <c r="G110" s="10">
        <v>3</v>
      </c>
      <c r="H110" s="10">
        <f>SUM(D110:G110)</f>
        <v>13</v>
      </c>
      <c r="I110" s="10"/>
    </row>
    <row r="111" spans="1:11" x14ac:dyDescent="0.2">
      <c r="B111" s="23" t="s">
        <v>51</v>
      </c>
      <c r="C111" s="12" t="s">
        <v>45</v>
      </c>
      <c r="D111" s="42">
        <v>4.3899999999999997</v>
      </c>
      <c r="E111" s="42">
        <v>3.37</v>
      </c>
      <c r="F111" s="42">
        <v>6.15</v>
      </c>
      <c r="G111" s="42">
        <v>2.1</v>
      </c>
      <c r="H111" s="33">
        <v>16.41</v>
      </c>
      <c r="I111" s="42"/>
    </row>
    <row r="112" spans="1:11" x14ac:dyDescent="0.2">
      <c r="B112" s="25"/>
      <c r="C112" s="20" t="s">
        <v>104</v>
      </c>
      <c r="D112" s="43">
        <v>6.06</v>
      </c>
      <c r="E112" s="43">
        <v>8.3800000000000008</v>
      </c>
      <c r="F112" s="43">
        <v>5.18</v>
      </c>
      <c r="G112" s="43">
        <v>8.27</v>
      </c>
      <c r="H112" s="34">
        <v>28.27</v>
      </c>
      <c r="I112" s="43"/>
    </row>
    <row r="113" spans="1:11" x14ac:dyDescent="0.2">
      <c r="J113" s="27"/>
    </row>
    <row r="114" spans="1:11" x14ac:dyDescent="0.2">
      <c r="A114" s="22"/>
      <c r="C114" s="12" t="s">
        <v>45</v>
      </c>
      <c r="D114" s="10">
        <v>0</v>
      </c>
      <c r="E114" s="10">
        <v>1</v>
      </c>
      <c r="F114" s="10">
        <v>2</v>
      </c>
      <c r="G114" s="10">
        <v>1</v>
      </c>
      <c r="H114" s="10">
        <f>SUM(D114:G114)</f>
        <v>4</v>
      </c>
      <c r="I114" s="10"/>
      <c r="J114" s="10"/>
      <c r="K114" s="10"/>
    </row>
    <row r="115" spans="1:11" x14ac:dyDescent="0.2">
      <c r="A115" s="22">
        <v>44656</v>
      </c>
      <c r="C115" s="12" t="s">
        <v>105</v>
      </c>
      <c r="D115" s="10">
        <v>4</v>
      </c>
      <c r="E115" s="10">
        <v>3</v>
      </c>
      <c r="F115" s="10">
        <v>2</v>
      </c>
      <c r="G115" s="10">
        <v>4</v>
      </c>
      <c r="H115" s="10">
        <f>SUM(D115:G115)</f>
        <v>13</v>
      </c>
      <c r="I115" s="10"/>
    </row>
    <row r="116" spans="1:11" x14ac:dyDescent="0.2">
      <c r="A116" s="10" t="s">
        <v>62</v>
      </c>
      <c r="B116" s="23" t="s">
        <v>51</v>
      </c>
      <c r="C116" s="24" t="s">
        <v>45</v>
      </c>
      <c r="D116" s="42"/>
      <c r="E116" s="42"/>
      <c r="F116" s="42"/>
      <c r="G116" s="42"/>
      <c r="H116" s="33"/>
      <c r="I116" s="42"/>
    </row>
    <row r="117" spans="1:11" x14ac:dyDescent="0.2">
      <c r="B117" s="25"/>
      <c r="C117" s="20" t="s">
        <v>105</v>
      </c>
      <c r="D117" s="43"/>
      <c r="E117" s="43"/>
      <c r="F117" s="43"/>
      <c r="G117" s="43"/>
      <c r="H117" s="34"/>
      <c r="I117" s="43"/>
    </row>
    <row r="119" spans="1:11" x14ac:dyDescent="0.2">
      <c r="A119" s="22">
        <v>44658</v>
      </c>
      <c r="C119" s="12" t="s">
        <v>45</v>
      </c>
      <c r="D119" s="10">
        <v>0</v>
      </c>
      <c r="E119" s="10">
        <v>0</v>
      </c>
      <c r="F119" s="10">
        <v>0</v>
      </c>
      <c r="G119" s="10">
        <v>0</v>
      </c>
      <c r="H119" s="10">
        <f>SUM(D119:G119)</f>
        <v>0</v>
      </c>
      <c r="I119" s="10"/>
    </row>
    <row r="120" spans="1:11" x14ac:dyDescent="0.2">
      <c r="A120" s="10" t="s">
        <v>62</v>
      </c>
      <c r="C120" s="12" t="s">
        <v>106</v>
      </c>
      <c r="D120" s="10">
        <v>3</v>
      </c>
      <c r="E120" s="10">
        <v>8</v>
      </c>
      <c r="F120" s="10">
        <v>1</v>
      </c>
      <c r="G120" s="10">
        <v>1</v>
      </c>
      <c r="H120" s="10">
        <f>SUM(D120:G120)</f>
        <v>13</v>
      </c>
      <c r="I120" s="10"/>
    </row>
    <row r="121" spans="1:11" x14ac:dyDescent="0.2">
      <c r="B121" s="23" t="s">
        <v>51</v>
      </c>
      <c r="C121" s="24" t="s">
        <v>45</v>
      </c>
      <c r="D121" s="42"/>
      <c r="E121" s="42"/>
      <c r="F121" s="42"/>
      <c r="G121" s="42"/>
      <c r="H121" s="33"/>
      <c r="I121" s="42"/>
    </row>
    <row r="122" spans="1:11" x14ac:dyDescent="0.2">
      <c r="B122" s="25"/>
      <c r="C122" s="20" t="s">
        <v>106</v>
      </c>
      <c r="D122" s="43"/>
      <c r="E122" s="43"/>
      <c r="F122" s="43"/>
      <c r="G122" s="43"/>
      <c r="H122" s="34"/>
      <c r="I122" s="43"/>
    </row>
    <row r="124" spans="1:11" x14ac:dyDescent="0.2">
      <c r="A124" s="22">
        <v>44662</v>
      </c>
      <c r="C124" s="12" t="s">
        <v>45</v>
      </c>
      <c r="D124" s="10">
        <v>2</v>
      </c>
      <c r="E124" s="10">
        <v>1</v>
      </c>
      <c r="F124" s="10">
        <v>4</v>
      </c>
      <c r="G124" s="10">
        <v>4</v>
      </c>
      <c r="H124" s="10">
        <f>SUM(D124:G124)</f>
        <v>11</v>
      </c>
      <c r="I124" s="10"/>
    </row>
    <row r="125" spans="1:11" x14ac:dyDescent="0.2">
      <c r="A125" s="10" t="s">
        <v>63</v>
      </c>
      <c r="C125" s="12" t="s">
        <v>107</v>
      </c>
      <c r="D125" s="10">
        <v>3</v>
      </c>
      <c r="E125" s="10">
        <v>5</v>
      </c>
      <c r="F125" s="10">
        <v>2</v>
      </c>
      <c r="G125" s="10">
        <v>2</v>
      </c>
      <c r="H125" s="10">
        <f>SUM(D125:G125)</f>
        <v>12</v>
      </c>
      <c r="I125" s="10"/>
    </row>
    <row r="126" spans="1:11" x14ac:dyDescent="0.2">
      <c r="B126" s="23" t="s">
        <v>51</v>
      </c>
      <c r="C126" s="24" t="s">
        <v>45</v>
      </c>
      <c r="D126" s="42"/>
      <c r="E126" s="42"/>
      <c r="F126" s="42"/>
      <c r="G126" s="42"/>
      <c r="H126" s="33"/>
      <c r="I126" s="42"/>
    </row>
    <row r="127" spans="1:11" x14ac:dyDescent="0.2">
      <c r="B127" s="25"/>
      <c r="C127" s="20" t="s">
        <v>107</v>
      </c>
      <c r="D127" s="43"/>
      <c r="E127" s="43"/>
      <c r="F127" s="43"/>
      <c r="G127" s="43"/>
      <c r="H127" s="34"/>
      <c r="I127" s="43"/>
    </row>
    <row r="129" spans="1:9" x14ac:dyDescent="0.2">
      <c r="A129" s="22">
        <v>44664</v>
      </c>
      <c r="C129" s="12" t="s">
        <v>45</v>
      </c>
      <c r="D129" s="10">
        <v>5</v>
      </c>
      <c r="E129" s="10">
        <v>1</v>
      </c>
      <c r="F129" s="10">
        <v>2</v>
      </c>
      <c r="G129" s="10">
        <v>2</v>
      </c>
      <c r="H129" s="10">
        <f>SUM(D129:G129)</f>
        <v>10</v>
      </c>
      <c r="I129" s="10"/>
    </row>
    <row r="130" spans="1:9" x14ac:dyDescent="0.2">
      <c r="A130" s="10" t="s">
        <v>63</v>
      </c>
      <c r="C130" s="12" t="s">
        <v>108</v>
      </c>
      <c r="D130" s="10">
        <v>1</v>
      </c>
      <c r="E130" s="10">
        <v>5</v>
      </c>
      <c r="F130" s="10">
        <v>2</v>
      </c>
      <c r="G130" s="10">
        <v>3</v>
      </c>
      <c r="H130" s="10">
        <f>SUM(D130:G130)</f>
        <v>11</v>
      </c>
      <c r="I130" s="10"/>
    </row>
    <row r="131" spans="1:9" x14ac:dyDescent="0.2">
      <c r="B131" s="23" t="s">
        <v>51</v>
      </c>
      <c r="C131" s="24" t="s">
        <v>45</v>
      </c>
      <c r="D131" s="42"/>
      <c r="E131" s="42"/>
      <c r="F131" s="42"/>
      <c r="G131" s="42"/>
      <c r="H131" s="33"/>
      <c r="I131" s="42"/>
    </row>
    <row r="132" spans="1:9" x14ac:dyDescent="0.2">
      <c r="B132" s="25"/>
      <c r="C132" s="20" t="s">
        <v>108</v>
      </c>
      <c r="D132" s="43"/>
      <c r="E132" s="43"/>
      <c r="F132" s="43"/>
      <c r="G132" s="43"/>
      <c r="H132" s="34"/>
      <c r="I132" s="43"/>
    </row>
    <row r="134" spans="1:9" x14ac:dyDescent="0.2">
      <c r="A134" s="22">
        <v>44670</v>
      </c>
      <c r="C134" s="12" t="s">
        <v>45</v>
      </c>
      <c r="D134" s="10">
        <v>5</v>
      </c>
      <c r="E134" s="10">
        <v>4</v>
      </c>
      <c r="F134" s="10">
        <v>7</v>
      </c>
      <c r="G134" s="10">
        <v>2</v>
      </c>
      <c r="H134" s="10">
        <f>SUM(D134:G134)</f>
        <v>18</v>
      </c>
      <c r="I134" s="10"/>
    </row>
    <row r="135" spans="1:9" x14ac:dyDescent="0.2">
      <c r="A135" s="10" t="s">
        <v>62</v>
      </c>
      <c r="C135" s="12" t="s">
        <v>102</v>
      </c>
      <c r="D135" s="10">
        <v>1</v>
      </c>
      <c r="E135" s="10">
        <v>1</v>
      </c>
      <c r="F135" s="10">
        <v>0</v>
      </c>
      <c r="G135" s="10">
        <v>0</v>
      </c>
      <c r="H135" s="10">
        <f>SUM(D135:G135)</f>
        <v>2</v>
      </c>
      <c r="I135" s="10"/>
    </row>
    <row r="136" spans="1:9" x14ac:dyDescent="0.2">
      <c r="B136" s="23" t="s">
        <v>51</v>
      </c>
      <c r="C136" s="24" t="s">
        <v>45</v>
      </c>
      <c r="D136" s="19"/>
      <c r="E136" s="19"/>
      <c r="F136" s="19"/>
      <c r="G136" s="19"/>
      <c r="H136" s="41"/>
      <c r="I136" s="19"/>
    </row>
    <row r="137" spans="1:9" x14ac:dyDescent="0.2">
      <c r="B137" s="25"/>
      <c r="C137" s="20" t="s">
        <v>102</v>
      </c>
      <c r="D137" s="39"/>
      <c r="E137" s="39"/>
      <c r="F137" s="39"/>
      <c r="G137" s="39"/>
      <c r="H137" s="40"/>
      <c r="I137" s="39"/>
    </row>
    <row r="139" spans="1:9" x14ac:dyDescent="0.2">
      <c r="A139" s="22">
        <v>44672</v>
      </c>
      <c r="C139" s="12" t="s">
        <v>45</v>
      </c>
      <c r="D139" s="10">
        <v>3</v>
      </c>
      <c r="E139" s="10">
        <v>0</v>
      </c>
      <c r="F139" s="10">
        <v>2</v>
      </c>
      <c r="G139" s="10">
        <v>4</v>
      </c>
      <c r="H139" s="10">
        <f>SUM(D139:G139)</f>
        <v>9</v>
      </c>
      <c r="I139" s="10"/>
    </row>
    <row r="140" spans="1:9" x14ac:dyDescent="0.2">
      <c r="A140" s="10" t="s">
        <v>63</v>
      </c>
      <c r="C140" s="12" t="s">
        <v>97</v>
      </c>
      <c r="D140" s="10">
        <v>5</v>
      </c>
      <c r="E140" s="10">
        <v>0</v>
      </c>
      <c r="F140" s="10">
        <v>3</v>
      </c>
      <c r="G140" s="10">
        <v>3</v>
      </c>
      <c r="H140" s="10">
        <f>SUM(D140:G140)</f>
        <v>11</v>
      </c>
      <c r="I140" s="10"/>
    </row>
    <row r="141" spans="1:9" x14ac:dyDescent="0.2">
      <c r="B141" s="23" t="s">
        <v>51</v>
      </c>
      <c r="C141" s="24" t="s">
        <v>45</v>
      </c>
      <c r="D141" s="42"/>
      <c r="E141" s="42"/>
      <c r="F141" s="42"/>
      <c r="G141" s="42"/>
      <c r="H141" s="33"/>
      <c r="I141" s="42"/>
    </row>
    <row r="142" spans="1:9" x14ac:dyDescent="0.2">
      <c r="B142" s="25"/>
      <c r="C142" s="20"/>
      <c r="D142" s="43"/>
      <c r="E142" s="43"/>
      <c r="F142" s="43"/>
      <c r="G142" s="43"/>
      <c r="H142" s="34"/>
      <c r="I142" s="43"/>
    </row>
    <row r="143" spans="1:9" x14ac:dyDescent="0.2">
      <c r="F143" s="36"/>
      <c r="I143" s="36"/>
    </row>
    <row r="144" spans="1:9" x14ac:dyDescent="0.2">
      <c r="A144" s="22"/>
      <c r="C144" s="12" t="s">
        <v>45</v>
      </c>
      <c r="D144" s="10">
        <v>4</v>
      </c>
      <c r="E144" s="10">
        <v>3</v>
      </c>
      <c r="F144" s="10">
        <v>0</v>
      </c>
      <c r="G144" s="10">
        <v>1</v>
      </c>
      <c r="H144" s="10">
        <f>SUM(D144:G144)</f>
        <v>8</v>
      </c>
      <c r="I144" s="10"/>
    </row>
    <row r="145" spans="1:10" x14ac:dyDescent="0.2">
      <c r="A145" s="22">
        <v>44673</v>
      </c>
      <c r="C145" s="12" t="s">
        <v>104</v>
      </c>
      <c r="D145" s="10">
        <v>4</v>
      </c>
      <c r="E145" s="10">
        <v>6</v>
      </c>
      <c r="F145" s="10">
        <v>9</v>
      </c>
      <c r="G145" s="10">
        <v>1</v>
      </c>
      <c r="H145" s="10">
        <f>SUM(D145:G145)</f>
        <v>20</v>
      </c>
      <c r="I145" s="10"/>
    </row>
    <row r="146" spans="1:10" x14ac:dyDescent="0.2">
      <c r="A146" s="10" t="s">
        <v>63</v>
      </c>
      <c r="B146" s="23" t="s">
        <v>51</v>
      </c>
      <c r="C146" s="24" t="s">
        <v>45</v>
      </c>
      <c r="D146" s="19"/>
      <c r="E146" s="19"/>
      <c r="F146" s="19"/>
      <c r="G146" s="19"/>
      <c r="H146" s="41"/>
      <c r="I146" s="19"/>
    </row>
    <row r="147" spans="1:10" x14ac:dyDescent="0.2">
      <c r="B147" s="25"/>
      <c r="C147" s="20"/>
      <c r="D147" s="39"/>
      <c r="E147" s="39"/>
      <c r="F147" s="39"/>
      <c r="G147" s="39"/>
      <c r="H147" s="40"/>
      <c r="I147" s="39"/>
    </row>
    <row r="149" spans="1:10" x14ac:dyDescent="0.2">
      <c r="A149" s="22">
        <v>44676</v>
      </c>
      <c r="C149" s="12" t="s">
        <v>45</v>
      </c>
      <c r="D149" s="10">
        <v>1</v>
      </c>
      <c r="E149" s="10">
        <v>0</v>
      </c>
      <c r="F149" s="10">
        <v>0</v>
      </c>
      <c r="G149" s="10">
        <v>0</v>
      </c>
      <c r="H149" s="10">
        <f>SUM(D149:G149)</f>
        <v>1</v>
      </c>
      <c r="I149" s="10"/>
    </row>
    <row r="150" spans="1:10" x14ac:dyDescent="0.2">
      <c r="A150" s="10" t="s">
        <v>63</v>
      </c>
      <c r="C150" s="12" t="s">
        <v>110</v>
      </c>
      <c r="D150" s="10">
        <v>7</v>
      </c>
      <c r="E150" s="10">
        <v>4</v>
      </c>
      <c r="F150" s="10">
        <v>3</v>
      </c>
      <c r="G150" s="10">
        <v>1</v>
      </c>
      <c r="H150" s="10">
        <f>SUM(D150:G150)</f>
        <v>15</v>
      </c>
      <c r="I150" s="10"/>
    </row>
    <row r="151" spans="1:10" x14ac:dyDescent="0.2">
      <c r="B151" s="23" t="s">
        <v>51</v>
      </c>
      <c r="C151" s="24" t="s">
        <v>45</v>
      </c>
      <c r="D151" s="42"/>
      <c r="E151" s="42"/>
      <c r="F151" s="42"/>
      <c r="G151" s="42"/>
      <c r="H151" s="33"/>
      <c r="I151" s="42"/>
    </row>
    <row r="152" spans="1:10" x14ac:dyDescent="0.2">
      <c r="B152" s="25"/>
      <c r="C152" s="20"/>
      <c r="D152" s="43"/>
      <c r="E152" s="43"/>
      <c r="F152" s="43"/>
      <c r="G152" s="43"/>
      <c r="H152" s="34"/>
      <c r="I152" s="43"/>
    </row>
    <row r="154" spans="1:10" x14ac:dyDescent="0.2">
      <c r="A154" s="22">
        <v>44677</v>
      </c>
      <c r="C154" s="12" t="s">
        <v>45</v>
      </c>
      <c r="D154" s="10">
        <v>2</v>
      </c>
      <c r="E154" s="10">
        <v>0</v>
      </c>
      <c r="F154" s="10">
        <v>0</v>
      </c>
      <c r="G154" s="10">
        <v>0</v>
      </c>
      <c r="H154" s="10">
        <f>SUM(D154:G154)</f>
        <v>2</v>
      </c>
      <c r="I154" s="10"/>
    </row>
    <row r="155" spans="1:10" x14ac:dyDescent="0.2">
      <c r="A155" s="10" t="s">
        <v>62</v>
      </c>
      <c r="C155" s="12" t="s">
        <v>110</v>
      </c>
      <c r="D155" s="10">
        <v>6</v>
      </c>
      <c r="E155" s="10">
        <v>6</v>
      </c>
      <c r="F155" s="10">
        <v>3</v>
      </c>
      <c r="G155" s="10">
        <v>3</v>
      </c>
      <c r="H155" s="10">
        <f>SUM(D155:G155)</f>
        <v>18</v>
      </c>
      <c r="I155" s="10"/>
    </row>
    <row r="156" spans="1:10" x14ac:dyDescent="0.2">
      <c r="B156" s="23" t="s">
        <v>51</v>
      </c>
      <c r="C156" s="24" t="s">
        <v>45</v>
      </c>
      <c r="D156" s="42"/>
      <c r="E156" s="42"/>
      <c r="F156" s="42"/>
      <c r="G156" s="42"/>
      <c r="H156" s="33"/>
      <c r="I156" s="42"/>
    </row>
    <row r="157" spans="1:10" x14ac:dyDescent="0.2">
      <c r="B157" s="25"/>
      <c r="C157" s="20"/>
      <c r="D157" s="43"/>
      <c r="E157" s="43"/>
      <c r="F157" s="43"/>
      <c r="G157" s="43"/>
      <c r="H157" s="34"/>
      <c r="I157" s="43"/>
    </row>
    <row r="158" spans="1:10" x14ac:dyDescent="0.2">
      <c r="J158" s="10"/>
    </row>
    <row r="159" spans="1:10" x14ac:dyDescent="0.2">
      <c r="A159" s="22">
        <v>44679</v>
      </c>
      <c r="C159" s="12" t="s">
        <v>45</v>
      </c>
      <c r="D159" s="10">
        <v>1</v>
      </c>
      <c r="E159" s="10">
        <v>1</v>
      </c>
      <c r="F159" s="10">
        <v>0</v>
      </c>
      <c r="G159" s="10">
        <v>0</v>
      </c>
      <c r="H159" s="10">
        <f>SUM(D159:G159)</f>
        <v>2</v>
      </c>
      <c r="I159" s="10"/>
      <c r="J159" s="10"/>
    </row>
    <row r="160" spans="1:10" x14ac:dyDescent="0.2">
      <c r="A160" s="10" t="s">
        <v>63</v>
      </c>
      <c r="C160" s="12" t="s">
        <v>105</v>
      </c>
      <c r="D160" s="10">
        <v>4</v>
      </c>
      <c r="E160" s="10">
        <v>2</v>
      </c>
      <c r="F160" s="10">
        <v>5</v>
      </c>
      <c r="G160" s="10">
        <v>1</v>
      </c>
      <c r="H160" s="10">
        <f>SUM(D160:G160)+J160</f>
        <v>12</v>
      </c>
      <c r="I160" s="10"/>
      <c r="J160" s="10"/>
    </row>
    <row r="161" spans="2:9" x14ac:dyDescent="0.2">
      <c r="B161" s="23" t="s">
        <v>51</v>
      </c>
      <c r="C161" s="24" t="s">
        <v>45</v>
      </c>
      <c r="D161" s="19"/>
      <c r="E161" s="19"/>
      <c r="F161" s="19"/>
      <c r="G161" s="19"/>
      <c r="H161" s="41"/>
      <c r="I161" s="19"/>
    </row>
    <row r="162" spans="2:9" x14ac:dyDescent="0.2">
      <c r="B162" s="25"/>
      <c r="C162" s="20"/>
      <c r="D162" s="39"/>
      <c r="E162" s="39"/>
      <c r="F162" s="39"/>
      <c r="G162" s="39"/>
      <c r="H162" s="40"/>
      <c r="I162" s="39"/>
    </row>
  </sheetData>
  <sheetProtection algorithmName="SHA-512" hashValue="vPNxzUG70sPOQUsKp10hXwnG3CfV2e378wyx8Z3D5byqdCEva+AnN0NFXj42t8e2eTm32N5rTEY6+iy7NzxYqA==" saltValue="i6d7j9jlRgUx5g/vFymb/A==" spinCount="100000" sheet="1" objects="1" scenarios="1"/>
  <sortState xmlns:xlrd2="http://schemas.microsoft.com/office/spreadsheetml/2017/richdata2" ref="A3:O26">
    <sortCondition ref="B3:B26" customList="A,M,D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twetherb</dc:creator>
  <cp:lastModifiedBy>Tom Wetherby</cp:lastModifiedBy>
  <cp:lastPrinted>2018-05-22T18:34:00Z</cp:lastPrinted>
  <dcterms:created xsi:type="dcterms:W3CDTF">2013-03-19T12:42:01Z</dcterms:created>
  <dcterms:modified xsi:type="dcterms:W3CDTF">2022-05-10T15:02:29Z</dcterms:modified>
</cp:coreProperties>
</file>